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248" tabRatio="0" activeTab="0"/>
  </bookViews>
  <sheets>
    <sheet name="TDSheet" sheetId="1" r:id="rId1"/>
  </sheets>
  <externalReferences>
    <externalReference r:id="rId4"/>
  </externalReferences>
  <definedNames>
    <definedName name="_xlnm.Print_Area" localSheetId="0">'TDSheet'!$A$1:$S$389</definedName>
  </definedNames>
  <calcPr fullCalcOnLoad="1"/>
</workbook>
</file>

<file path=xl/sharedStrings.xml><?xml version="1.0" encoding="utf-8"?>
<sst xmlns="http://schemas.openxmlformats.org/spreadsheetml/2006/main" count="684" uniqueCount="187">
  <si>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</si>
  <si>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</si>
  <si>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</si>
  <si>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</si>
  <si>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</si>
  <si>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</si>
  <si>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</si>
  <si>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</si>
  <si>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</si>
  <si>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</si>
  <si>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</si>
  <si>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</si>
  <si>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</si>
  <si>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</si>
  <si>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</si>
  <si>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</si>
  <si>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</si>
  <si>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</si>
  <si>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</si>
  <si>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</si>
  <si>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</si>
  <si>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</si>
  <si>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</si>
  <si>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</si>
  <si>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</si>
  <si>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</si>
  <si>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</si>
  <si>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</si>
  <si>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</si>
  <si>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</si>
  <si>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</si>
  <si>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</si>
  <si>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</si>
  <si>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</si>
  <si>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</si>
  <si>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</si>
  <si>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</si>
  <si>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</si>
  <si>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</si>
  <si>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</si>
  <si>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</si>
  <si>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</si>
  <si>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 xml:space="preserve">Молоко сгущенное порционно 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</si>
  <si>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</si>
  <si>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</si>
  <si>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Салат из свежей капусты с зеленью  "Молодость"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</si>
  <si>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</si>
  <si>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</si>
  <si>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</si>
  <si>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</si>
  <si>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 xml:space="preserve">Напиток из свежих фруктов </t>
  </si>
  <si>
    <t xml:space="preserve">Компот из смеси сухофруктов     С- витаминизированный </t>
  </si>
  <si>
    <t>200//4</t>
  </si>
  <si>
    <t>Плов  с  птицей</t>
  </si>
  <si>
    <t xml:space="preserve">Рис отварной с маслом сливочным </t>
  </si>
  <si>
    <t>Кондитерские изделия (печенье)</t>
  </si>
  <si>
    <t xml:space="preserve">Жаркое по- домашнему </t>
  </si>
  <si>
    <t>150/20</t>
  </si>
  <si>
    <t>Кофейный напиток на молоке</t>
  </si>
  <si>
    <t>Каша геркулесовая молочная с маслом сливочным</t>
  </si>
  <si>
    <t>Хлеб пшеничный</t>
  </si>
  <si>
    <t>Салат из свеклы с маслом растительным</t>
  </si>
  <si>
    <t>Кондитерское изделие /Мармелад</t>
  </si>
  <si>
    <t>Суп-лапша домашняя с птицей отварной и свежей зеленью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</si>
  <si>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</si>
  <si>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</si>
  <si>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</si>
  <si>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</si>
  <si>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</si>
  <si>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</si>
  <si>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Напиток из  яблок  витаминизированный</t>
  </si>
  <si>
    <t>Джем фруктовый с кусочками фруктов</t>
  </si>
  <si>
    <t>Итого в день</t>
  </si>
  <si>
    <t>% от суточной нормы</t>
  </si>
  <si>
    <t>суточная норма</t>
  </si>
  <si>
    <t>Щи из свежей капусты с фрикаделькой из птицы "Детская"</t>
  </si>
  <si>
    <t>Чай  с сахаром</t>
  </si>
  <si>
    <t xml:space="preserve">Каша гречневая молочная с маслом сливочным </t>
  </si>
  <si>
    <t>Запеканка творожно-рисовая с маслом сливочным</t>
  </si>
  <si>
    <t>Каша "Дружба" с маслом сливочным</t>
  </si>
  <si>
    <t>Рыба, запеченная с овощами и сыром</t>
  </si>
  <si>
    <t xml:space="preserve">Холодная закуска: Овощи порционно / Огурец </t>
  </si>
  <si>
    <t>осенне-весенний</t>
  </si>
  <si>
    <t>осенне- весенний</t>
  </si>
  <si>
    <t>Котлеты "Куриные"</t>
  </si>
  <si>
    <t xml:space="preserve">Пудинг творожно-пшенный с сахарной пудрой   </t>
  </si>
  <si>
    <t>Приложение 8 к СанПиН 2.3/2.4.3590-20</t>
  </si>
  <si>
    <t>ПР</t>
  </si>
  <si>
    <t>Салат из моркови с яблоком</t>
  </si>
  <si>
    <t>Кисломолочный напиток / Ряженка</t>
  </si>
  <si>
    <t>Печень тушеная в соусе</t>
  </si>
  <si>
    <t xml:space="preserve">Рыба, запеченная под соусом </t>
  </si>
  <si>
    <t>Капуста тушеная</t>
  </si>
  <si>
    <t xml:space="preserve">Птица, порционная  запеченая 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</si>
  <si>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</si>
  <si>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 xml:space="preserve">Компот из свежих яблок и лимона </t>
  </si>
  <si>
    <t>Оладьи с яблоками</t>
  </si>
  <si>
    <t xml:space="preserve">Суп картофельный с вермишелью на курином бульоне  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</si>
  <si>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</si>
  <si>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</si>
  <si>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</si>
  <si>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</si>
  <si>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</si>
  <si>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</si>
  <si>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</si>
  <si>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ПРИМЕЧАНИЕ: * замена на осенний период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</si>
  <si>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</si>
  <si>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</si>
  <si>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</si>
  <si>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Суп картофельный с горохом и фрикаделькой из птицы "Детские" (ГОСТ)</t>
  </si>
  <si>
    <t>Борщ "Сибирский" с фасолью</t>
  </si>
  <si>
    <t>Макаронные изделия отварные с маслом сливочным</t>
  </si>
  <si>
    <t>Кисломолочный напиток / Кефир</t>
  </si>
  <si>
    <t xml:space="preserve">Борщ со свежей капустой и картофелем с фрикаделькой из мяса "Детская" </t>
  </si>
  <si>
    <t>Зеленый горошек</t>
  </si>
  <si>
    <t>Салат из свеклы с сыром и маслом растительным</t>
  </si>
  <si>
    <t>Котлета "Куриная"</t>
  </si>
  <si>
    <t xml:space="preserve">* 209/62 ОП </t>
  </si>
  <si>
    <t>20/40</t>
  </si>
  <si>
    <t>Яйцо отварное порционно / морковь тертая с р.м.</t>
  </si>
  <si>
    <t>Винегрет овощной</t>
  </si>
  <si>
    <t>Суп картофельный с рыбными фрикадельками</t>
  </si>
  <si>
    <t>№ рец. по сборнику</t>
  </si>
  <si>
    <t>* 29 ОП</t>
  </si>
  <si>
    <t>ПРИМЕЧАНИЕ  ** могут быть использованы нектары,морсы, напитки сокосодержащие (в т.ч. обогащенные)</t>
  </si>
  <si>
    <t>Сок фруктовый**</t>
  </si>
  <si>
    <t>Салат из белокачанной капусты с морковью</t>
  </si>
  <si>
    <t>Котлета "Говяжья Школьная" запеченная (в соответствии с ГОСТ Р 55366-2012)</t>
  </si>
  <si>
    <t>Салат "Витаминный" (капуста квашеная, зел. горошек)</t>
  </si>
  <si>
    <t>Рассольник "Ленинградский" на бульоне</t>
  </si>
  <si>
    <t>Палочки мясные "Детские" запеченые (в соответствии с ГОСТ Р 55366-2012)</t>
  </si>
  <si>
    <t>Тефтели "Детские" под овощным соусом (в соответствии с ГОСТ Р 55366-2012)</t>
  </si>
  <si>
    <t>Салат фруктовый с сахарной пудрой  (десерт)</t>
  </si>
  <si>
    <t>Кондитерское изделие Зефир</t>
  </si>
  <si>
    <t>Йогурт фруктовый</t>
  </si>
  <si>
    <t xml:space="preserve">Молоко кипяченое (по ГОСТ 32252-2013) </t>
  </si>
  <si>
    <t>Салат фруктовый с сахарной пудрой (десерт)</t>
  </si>
  <si>
    <t>Суп картофельный с клецками</t>
  </si>
  <si>
    <t xml:space="preserve">Какао с молоком </t>
  </si>
  <si>
    <t>* 49 ОП</t>
  </si>
  <si>
    <t>* 198 ОП</t>
  </si>
  <si>
    <t>Оладьи "Домашние" со сгущенным молоком</t>
  </si>
  <si>
    <t>Фасоль красная с растительным маслом</t>
  </si>
  <si>
    <t>250/15</t>
  </si>
  <si>
    <t>210/50</t>
  </si>
  <si>
    <t>90/25</t>
  </si>
  <si>
    <t>12-18 лет</t>
  </si>
  <si>
    <t>Зразы рыбные рубленные с яйцом (открытые)</t>
  </si>
  <si>
    <t>Холодная закуска: Овощи порционно /  Помидор</t>
  </si>
  <si>
    <t>Салат из капусты с огурцом соленым</t>
  </si>
  <si>
    <t>Рагу из свинины</t>
  </si>
  <si>
    <t>* ОП 70</t>
  </si>
  <si>
    <t xml:space="preserve">Холодная закуска: Овощи соленые порционно / Огурец </t>
  </si>
  <si>
    <t>Холодная закуска: Овощи порционно / Огурец  (по сезону)</t>
  </si>
  <si>
    <t>Холодная закуска: Овощи порционно /  Помидор (по сезону)</t>
  </si>
  <si>
    <t>Фрукт порционно / Яблоко 1шт***</t>
  </si>
  <si>
    <t>Фрукт порционно / Апельсин 1 шт***</t>
  </si>
  <si>
    <t>Фрукт порционно: Банан 1 шт***</t>
  </si>
  <si>
    <t>ПРИМЕЧАНИЕ *** - масса порции может варьироваться в зависимости от веса целого плода</t>
  </si>
  <si>
    <t xml:space="preserve">        *** - масса порции может варьироваться в зависимости от веса целого плода</t>
  </si>
  <si>
    <t xml:space="preserve">         *** - масса порции может варьироваться в зависимости от веса целого плода</t>
  </si>
  <si>
    <t>Кисель фруктовый</t>
  </si>
  <si>
    <t>297/326</t>
  </si>
  <si>
    <t>Фрикадельки из мяса птицы с соусом молочным (в соответствии с ГОСТ Р 55790-2013</t>
  </si>
  <si>
    <t>80/25</t>
  </si>
  <si>
    <t>Дополнительное питание</t>
  </si>
  <si>
    <t>Молоко в ИУ (3,2%)</t>
  </si>
  <si>
    <t>Плюшка "Оскольская"</t>
  </si>
  <si>
    <t>Булка "Колобок" (с изюмом)</t>
  </si>
  <si>
    <t>Сдоба "Грайворонская" (повидло)</t>
  </si>
  <si>
    <t xml:space="preserve">ПР </t>
  </si>
  <si>
    <t>Сдоба "Весенняя"</t>
  </si>
  <si>
    <t xml:space="preserve">СОГЛАСОВАНО:  </t>
  </si>
  <si>
    <t>Начальник территориального отдела</t>
  </si>
  <si>
    <t xml:space="preserve">Управления Федеральной службы по надзору </t>
  </si>
  <si>
    <t>в сфере защиты прав потребителей и благополучия человека</t>
  </si>
  <si>
    <t>по Белгородской области в Яковлевском районе</t>
  </si>
  <si>
    <t>_________________ Б.Н. Сучалкин</t>
  </si>
  <si>
    <r>
      <t xml:space="preserve">УТВЕРЖДАЮ: </t>
    </r>
    <r>
      <rPr>
        <sz val="11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                                                </t>
    </r>
  </si>
  <si>
    <t>Начальник управления образования</t>
  </si>
  <si>
    <t>администрации Грайворонского городского округа</t>
  </si>
  <si>
    <t>__________________ В.А. Безгодько</t>
  </si>
  <si>
    <t>"_________" _________________ 202___ года</t>
  </si>
  <si>
    <t>ПЕРСПЕКТИВНОЕ ДВУХНЕДЕЛЬНОЕ МЕНЮ</t>
  </si>
  <si>
    <t>на осенне-весенний периоды для питания обучающихся общеобразовательных учреждений,</t>
  </si>
  <si>
    <t>расположенных на территории Грайворонского городского округа</t>
  </si>
  <si>
    <t>(12-18 лет)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</si>
</sst>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2" fontId="0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84" fontId="0" fillId="33" borderId="10" xfId="0" applyNumberFormat="1" applyFont="1" applyFill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0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indent="1"/>
    </xf>
    <xf numFmtId="0" fontId="2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left" indent="1"/>
    </xf>
    <xf numFmtId="0" fontId="0" fillId="33" borderId="12" xfId="0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top" wrapText="1"/>
    </xf>
    <xf numFmtId="185" fontId="0" fillId="33" borderId="10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184" fontId="0" fillId="33" borderId="11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0" borderId="10" xfId="57" applyNumberFormat="1" applyFont="1" applyBorder="1">
      <alignment/>
      <protection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9" fontId="2" fillId="33" borderId="12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193" fontId="2" fillId="33" borderId="12" xfId="0" applyNumberFormat="1" applyFont="1" applyFill="1" applyBorder="1" applyAlignment="1">
      <alignment horizontal="center" vertical="top"/>
    </xf>
    <xf numFmtId="182" fontId="0" fillId="33" borderId="11" xfId="0" applyNumberFormat="1" applyFont="1" applyFill="1" applyBorder="1" applyAlignment="1">
      <alignment horizontal="center" vertical="top"/>
    </xf>
    <xf numFmtId="10" fontId="2" fillId="33" borderId="10" xfId="0" applyNumberFormat="1" applyFont="1" applyFill="1" applyBorder="1" applyAlignment="1">
      <alignment horizontal="center" vertical="top"/>
    </xf>
    <xf numFmtId="182" fontId="0" fillId="33" borderId="0" xfId="60" applyNumberFormat="1" applyFont="1" applyFill="1">
      <alignment/>
      <protection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184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182" fontId="0" fillId="0" borderId="10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 wrapText="1"/>
    </xf>
    <xf numFmtId="182" fontId="2" fillId="33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184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5" fontId="0" fillId="33" borderId="10" xfId="0" applyNumberFormat="1" applyFont="1" applyFill="1" applyBorder="1" applyAlignment="1">
      <alignment horizontal="center" vertical="top"/>
    </xf>
    <xf numFmtId="10" fontId="2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184" fontId="0" fillId="33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82" fontId="0" fillId="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10" fontId="2" fillId="33" borderId="14" xfId="0" applyNumberFormat="1" applyFont="1" applyFill="1" applyBorder="1" applyAlignment="1">
      <alignment horizontal="center" vertical="top"/>
    </xf>
    <xf numFmtId="184" fontId="0" fillId="33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10" fontId="2" fillId="33" borderId="14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2" fillId="33" borderId="10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0" fillId="33" borderId="0" xfId="0" applyNumberFormat="1" applyFill="1" applyAlignment="1">
      <alignment horizontal="left" vertical="center"/>
    </xf>
    <xf numFmtId="0" fontId="2" fillId="33" borderId="14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 wrapText="1"/>
    </xf>
    <xf numFmtId="10" fontId="2" fillId="33" borderId="10" xfId="57" applyNumberFormat="1" applyFont="1" applyFill="1" applyBorder="1">
      <alignment/>
      <protection/>
    </xf>
    <xf numFmtId="193" fontId="2" fillId="33" borderId="10" xfId="57" applyNumberFormat="1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0" xfId="57" applyNumberFormat="1" applyFont="1" applyFill="1" applyBorder="1" applyAlignment="1">
      <alignment horizontal="center"/>
      <protection/>
    </xf>
    <xf numFmtId="182" fontId="0" fillId="33" borderId="10" xfId="57" applyNumberFormat="1" applyFont="1" applyFill="1" applyBorder="1" applyAlignment="1">
      <alignment horizontal="center"/>
      <protection/>
    </xf>
    <xf numFmtId="2" fontId="0" fillId="33" borderId="10" xfId="57" applyNumberFormat="1" applyFont="1" applyFill="1" applyBorder="1" applyAlignment="1">
      <alignment horizontal="center"/>
      <protection/>
    </xf>
    <xf numFmtId="1" fontId="2" fillId="33" borderId="10" xfId="0" applyNumberFormat="1" applyFont="1" applyFill="1" applyBorder="1" applyAlignment="1">
      <alignment horizontal="center"/>
    </xf>
    <xf numFmtId="10" fontId="2" fillId="0" borderId="10" xfId="57" applyNumberFormat="1" applyFont="1" applyBorder="1" applyAlignment="1">
      <alignment horizontal="center"/>
      <protection/>
    </xf>
    <xf numFmtId="193" fontId="2" fillId="0" borderId="10" xfId="57" applyNumberFormat="1" applyFont="1" applyBorder="1" applyAlignment="1">
      <alignment horizontal="center"/>
      <protection/>
    </xf>
    <xf numFmtId="0" fontId="5" fillId="34" borderId="10" xfId="0" applyNumberFormat="1" applyFont="1" applyFill="1" applyBorder="1" applyAlignment="1">
      <alignment horizontal="right" vertical="center" indent="1"/>
    </xf>
    <xf numFmtId="0" fontId="5" fillId="34" borderId="10" xfId="0" applyFont="1" applyFill="1" applyBorder="1" applyAlignment="1">
      <alignment horizontal="right" vertical="center" indent="1"/>
    </xf>
    <xf numFmtId="2" fontId="5" fillId="34" borderId="10" xfId="0" applyNumberFormat="1" applyFont="1" applyFill="1" applyBorder="1" applyAlignment="1">
      <alignment horizontal="right" vertical="center" indent="1"/>
    </xf>
    <xf numFmtId="184" fontId="5" fillId="34" borderId="10" xfId="0" applyNumberFormat="1" applyFont="1" applyFill="1" applyBorder="1" applyAlignment="1">
      <alignment horizontal="right" vertical="center" indent="1"/>
    </xf>
    <xf numFmtId="2" fontId="0" fillId="34" borderId="10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center"/>
    </xf>
    <xf numFmtId="2" fontId="2" fillId="0" borderId="10" xfId="57" applyNumberFormat="1" applyFont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center"/>
    </xf>
    <xf numFmtId="10" fontId="2" fillId="0" borderId="0" xfId="57" applyNumberFormat="1" applyFont="1" applyAlignment="1">
      <alignment horizontal="center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93" fontId="2" fillId="0" borderId="13" xfId="57" applyNumberFormat="1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top"/>
    </xf>
    <xf numFmtId="184" fontId="5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top"/>
    </xf>
    <xf numFmtId="18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184" fontId="5" fillId="34" borderId="10" xfId="0" applyNumberFormat="1" applyFont="1" applyFill="1" applyBorder="1" applyAlignment="1">
      <alignment horizontal="center" vertical="top"/>
    </xf>
    <xf numFmtId="182" fontId="5" fillId="34" borderId="10" xfId="0" applyNumberFormat="1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184" fontId="5" fillId="34" borderId="10" xfId="0" applyNumberFormat="1" applyFont="1" applyFill="1" applyBorder="1" applyAlignment="1">
      <alignment horizontal="center" vertical="top" wrapText="1"/>
    </xf>
    <xf numFmtId="1" fontId="2" fillId="33" borderId="15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left"/>
    </xf>
    <xf numFmtId="10" fontId="2" fillId="33" borderId="0" xfId="0" applyNumberFormat="1" applyFont="1" applyFill="1" applyBorder="1" applyAlignment="1">
      <alignment horizontal="center" vertical="top"/>
    </xf>
    <xf numFmtId="193" fontId="2" fillId="33" borderId="0" xfId="0" applyNumberFormat="1" applyFont="1" applyFill="1" applyBorder="1" applyAlignment="1">
      <alignment horizontal="center" vertical="top"/>
    </xf>
    <xf numFmtId="9" fontId="2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NumberFormat="1" applyFont="1" applyFill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10" fontId="2" fillId="33" borderId="16" xfId="0" applyNumberFormat="1" applyFont="1" applyFill="1" applyBorder="1" applyAlignment="1">
      <alignment horizontal="left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2" fillId="33" borderId="15" xfId="0" applyFont="1" applyFill="1" applyBorder="1" applyAlignment="1">
      <alignment horizontal="left" inden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6" xfId="0" applyNumberFormat="1" applyFont="1" applyFill="1" applyBorder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right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left"/>
    </xf>
    <xf numFmtId="0" fontId="0" fillId="33" borderId="12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0" fillId="33" borderId="18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0" xfId="0" applyNumberFormat="1" applyFont="1" applyFill="1" applyAlignment="1">
      <alignment horizontal="center"/>
    </xf>
    <xf numFmtId="2" fontId="0" fillId="33" borderId="16" xfId="0" applyNumberFormat="1" applyFont="1" applyFill="1" applyBorder="1" applyAlignment="1">
      <alignment horizontal="left" vertical="center" wrapText="1"/>
    </xf>
    <xf numFmtId="2" fontId="0" fillId="33" borderId="15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indent="1"/>
    </xf>
    <xf numFmtId="2" fontId="2" fillId="33" borderId="14" xfId="0" applyNumberFormat="1" applyFont="1" applyFill="1" applyBorder="1" applyAlignment="1">
      <alignment horizontal="left" indent="1"/>
    </xf>
    <xf numFmtId="2" fontId="2" fillId="33" borderId="15" xfId="0" applyNumberFormat="1" applyFont="1" applyFill="1" applyBorder="1" applyAlignment="1">
      <alignment horizontal="left" indent="1"/>
    </xf>
    <xf numFmtId="0" fontId="0" fillId="33" borderId="0" xfId="0" applyFont="1" applyFill="1" applyAlignment="1">
      <alignment horizontal="center"/>
    </xf>
    <xf numFmtId="2" fontId="0" fillId="33" borderId="10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indent="1"/>
    </xf>
    <xf numFmtId="0" fontId="2" fillId="33" borderId="14" xfId="0" applyNumberFormat="1" applyFont="1" applyFill="1" applyBorder="1" applyAlignment="1">
      <alignment horizontal="left" indent="1"/>
    </xf>
    <xf numFmtId="0" fontId="2" fillId="33" borderId="15" xfId="0" applyNumberFormat="1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50;&#1086;&#1084;&#1087;&#1072;&#1085;&#1080;&#1103;%20&#1040;&#1051;&#1068;&#1058;&#1045;&#1056;&#1053;&#1040;&#1058;&#1048;&#1042;&#1040;%20(7-11)%20&#8212;%20&#1053;&#1072;&#1089;&#1090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8">
          <cell r="A308" t="str">
            <v>Итого за Завтрак мясной</v>
          </cell>
        </row>
        <row r="314">
          <cell r="A314" t="str">
            <v>Итого за Завтрак молочный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90"/>
  <sheetViews>
    <sheetView tabSelected="1" workbookViewId="0" topLeftCell="A20">
      <selection activeCell="Y20" sqref="Y20"/>
    </sheetView>
  </sheetViews>
  <sheetFormatPr defaultColWidth="10.66015625" defaultRowHeight="11.25"/>
  <cols>
    <col min="1" max="1" width="9.5" style="161" customWidth="1"/>
    <col min="2" max="2" width="16.33203125" style="72" customWidth="1"/>
    <col min="3" max="3" width="25.16015625" style="72" customWidth="1"/>
    <col min="4" max="4" width="8" style="8" customWidth="1"/>
    <col min="5" max="5" width="9.83203125" style="124" customWidth="1"/>
    <col min="6" max="6" width="9.66015625" style="8" customWidth="1"/>
    <col min="7" max="7" width="9.5" style="8" customWidth="1"/>
    <col min="8" max="8" width="10" style="8" customWidth="1"/>
    <col min="9" max="9" width="9" style="8" customWidth="1"/>
    <col min="10" max="10" width="9.83203125" style="8" customWidth="1"/>
    <col min="11" max="11" width="8.5" style="8" customWidth="1"/>
    <col min="12" max="12" width="10.33203125" style="8" customWidth="1"/>
    <col min="13" max="13" width="9.5" style="8" customWidth="1"/>
    <col min="14" max="14" width="9.33203125" style="8" customWidth="1"/>
    <col min="15" max="16" width="9.16015625" style="8" customWidth="1"/>
    <col min="17" max="17" width="9" style="8" customWidth="1"/>
    <col min="18" max="18" width="9.5" style="8" customWidth="1"/>
    <col min="19" max="19" width="8.66015625" style="8" customWidth="1"/>
    <col min="20" max="20" width="9.16015625" style="24" customWidth="1"/>
    <col min="21" max="22" width="9.16015625" style="34" customWidth="1"/>
    <col min="23" max="23" width="11.66015625" style="34" customWidth="1"/>
  </cols>
  <sheetData>
    <row r="1" spans="1:18" ht="15" customHeight="1">
      <c r="A1" s="214" t="s">
        <v>172</v>
      </c>
      <c r="B1" s="215"/>
      <c r="C1" s="215"/>
      <c r="M1" s="290" t="s">
        <v>178</v>
      </c>
      <c r="N1" s="290"/>
      <c r="O1" s="216"/>
      <c r="P1" s="216"/>
      <c r="Q1" s="216"/>
      <c r="R1" s="216"/>
    </row>
    <row r="2" spans="1:13" ht="15.75" customHeight="1">
      <c r="A2" s="213" t="s">
        <v>173</v>
      </c>
      <c r="B2" s="215"/>
      <c r="C2" s="215"/>
      <c r="M2" s="218" t="s">
        <v>179</v>
      </c>
    </row>
    <row r="3" spans="1:13" ht="13.5">
      <c r="A3" s="213" t="s">
        <v>174</v>
      </c>
      <c r="B3" s="215"/>
      <c r="C3" s="215"/>
      <c r="M3" s="218" t="s">
        <v>180</v>
      </c>
    </row>
    <row r="4" spans="1:17" ht="13.5">
      <c r="A4" s="213" t="s">
        <v>175</v>
      </c>
      <c r="B4" s="215"/>
      <c r="C4" s="215"/>
      <c r="M4" s="217" t="s">
        <v>181</v>
      </c>
      <c r="N4" s="217"/>
      <c r="O4" s="217"/>
      <c r="P4" s="217"/>
      <c r="Q4" s="217"/>
    </row>
    <row r="5" spans="1:19" ht="13.5">
      <c r="A5" s="213" t="s">
        <v>176</v>
      </c>
      <c r="B5" s="215"/>
      <c r="C5" s="215"/>
      <c r="M5" s="213" t="s">
        <v>182</v>
      </c>
      <c r="N5" s="215"/>
      <c r="O5" s="215"/>
      <c r="P5" s="218"/>
      <c r="Q5" s="218"/>
      <c r="R5" s="218"/>
      <c r="S5" s="218"/>
    </row>
    <row r="6" spans="1:3" ht="13.5">
      <c r="A6" s="213" t="s">
        <v>177</v>
      </c>
      <c r="B6" s="215"/>
      <c r="C6" s="215"/>
    </row>
    <row r="7" spans="1:3" ht="13.5">
      <c r="A7" s="213" t="s">
        <v>182</v>
      </c>
      <c r="B7" s="215"/>
      <c r="C7" s="215"/>
    </row>
    <row r="8" spans="1:23" s="1" customFormat="1" ht="11.25" customHeight="1">
      <c r="A8" s="150"/>
      <c r="B8" s="70"/>
      <c r="C8" s="70"/>
      <c r="D8" s="6"/>
      <c r="E8" s="44"/>
      <c r="F8" s="6"/>
      <c r="G8" s="6"/>
      <c r="H8" s="6"/>
      <c r="I8" s="6"/>
      <c r="J8" s="6"/>
      <c r="K8" s="2"/>
      <c r="L8" s="244" t="s">
        <v>86</v>
      </c>
      <c r="M8" s="244"/>
      <c r="N8" s="244"/>
      <c r="O8" s="244"/>
      <c r="P8" s="244"/>
      <c r="Q8" s="244"/>
      <c r="R8" s="244"/>
      <c r="S8" s="244"/>
      <c r="T8" s="261"/>
      <c r="U8" s="257"/>
      <c r="V8" s="35"/>
      <c r="W8" s="257"/>
    </row>
    <row r="9" spans="1:23" s="1" customFormat="1" ht="15.75" customHeight="1">
      <c r="A9" s="219" t="s">
        <v>183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62"/>
      <c r="U9" s="257"/>
      <c r="V9" s="163"/>
      <c r="W9" s="257"/>
    </row>
    <row r="10" spans="1:23" s="1" customFormat="1" ht="15.75" customHeight="1">
      <c r="A10" s="219" t="s">
        <v>184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62"/>
      <c r="U10" s="257"/>
      <c r="V10" s="163"/>
      <c r="W10" s="257"/>
    </row>
    <row r="11" spans="1:23" s="1" customFormat="1" ht="15.75" customHeight="1">
      <c r="A11" s="219" t="s">
        <v>185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62"/>
      <c r="U11" s="257"/>
      <c r="V11" s="163"/>
      <c r="W11" s="257"/>
    </row>
    <row r="12" spans="1:23" s="1" customFormat="1" ht="12.75" customHeight="1">
      <c r="A12" s="219" t="s">
        <v>186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20"/>
      <c r="T12" s="262"/>
      <c r="U12" s="257"/>
      <c r="V12" s="35"/>
      <c r="W12" s="257"/>
    </row>
    <row r="13" spans="1:23" s="1" customFormat="1" ht="11.25" customHeight="1">
      <c r="A13" s="152" t="s">
        <v>105</v>
      </c>
      <c r="B13" s="70"/>
      <c r="C13" s="70"/>
      <c r="D13" s="252" t="s">
        <v>2</v>
      </c>
      <c r="E13" s="252"/>
      <c r="F13" s="11">
        <v>1</v>
      </c>
      <c r="G13" s="6"/>
      <c r="H13" s="2"/>
      <c r="I13" s="2"/>
      <c r="J13" s="2"/>
      <c r="K13" s="252" t="s">
        <v>3</v>
      </c>
      <c r="L13" s="252"/>
      <c r="M13" s="273" t="s">
        <v>146</v>
      </c>
      <c r="N13" s="273"/>
      <c r="O13" s="273"/>
      <c r="P13" s="273"/>
      <c r="Q13" s="273"/>
      <c r="R13" s="273"/>
      <c r="S13" s="273"/>
      <c r="T13" s="263"/>
      <c r="U13" s="264"/>
      <c r="V13" s="35"/>
      <c r="W13" s="257"/>
    </row>
    <row r="14" spans="1:23" s="1" customFormat="1" ht="21.75" customHeight="1">
      <c r="A14" s="254" t="s">
        <v>122</v>
      </c>
      <c r="B14" s="254" t="s">
        <v>5</v>
      </c>
      <c r="C14" s="254"/>
      <c r="D14" s="254" t="s">
        <v>6</v>
      </c>
      <c r="E14" s="258" t="s">
        <v>7</v>
      </c>
      <c r="F14" s="258"/>
      <c r="G14" s="258"/>
      <c r="H14" s="254" t="s">
        <v>8</v>
      </c>
      <c r="I14" s="258" t="s">
        <v>9</v>
      </c>
      <c r="J14" s="258"/>
      <c r="K14" s="258"/>
      <c r="L14" s="258"/>
      <c r="M14" s="258"/>
      <c r="N14" s="258" t="s">
        <v>10</v>
      </c>
      <c r="O14" s="258"/>
      <c r="P14" s="258"/>
      <c r="Q14" s="258"/>
      <c r="R14" s="258"/>
      <c r="S14" s="258"/>
      <c r="T14" s="14"/>
      <c r="U14" s="28"/>
      <c r="V14" s="28"/>
      <c r="W14" s="28"/>
    </row>
    <row r="15" spans="1:23" s="1" customFormat="1" ht="21" customHeight="1">
      <c r="A15" s="255"/>
      <c r="B15" s="259"/>
      <c r="C15" s="260"/>
      <c r="D15" s="255"/>
      <c r="E15" s="119" t="s">
        <v>11</v>
      </c>
      <c r="F15" s="47" t="s">
        <v>12</v>
      </c>
      <c r="G15" s="47" t="s">
        <v>13</v>
      </c>
      <c r="H15" s="255"/>
      <c r="I15" s="47" t="s">
        <v>14</v>
      </c>
      <c r="J15" s="47" t="s">
        <v>66</v>
      </c>
      <c r="K15" s="47" t="s">
        <v>15</v>
      </c>
      <c r="L15" s="47" t="s">
        <v>16</v>
      </c>
      <c r="M15" s="47" t="s">
        <v>17</v>
      </c>
      <c r="N15" s="47" t="s">
        <v>18</v>
      </c>
      <c r="O15" s="47" t="s">
        <v>19</v>
      </c>
      <c r="P15" s="47" t="s">
        <v>67</v>
      </c>
      <c r="Q15" s="47" t="s">
        <v>68</v>
      </c>
      <c r="R15" s="47" t="s">
        <v>20</v>
      </c>
      <c r="S15" s="47" t="s">
        <v>21</v>
      </c>
      <c r="T15" s="14"/>
      <c r="U15" s="28"/>
      <c r="V15" s="28"/>
      <c r="W15" s="28"/>
    </row>
    <row r="16" spans="1:23" s="1" customFormat="1" ht="11.25" customHeight="1">
      <c r="A16" s="99">
        <v>1</v>
      </c>
      <c r="B16" s="253">
        <v>2</v>
      </c>
      <c r="C16" s="253"/>
      <c r="D16" s="48">
        <v>3</v>
      </c>
      <c r="E16" s="120">
        <v>4</v>
      </c>
      <c r="F16" s="48">
        <v>5</v>
      </c>
      <c r="G16" s="48">
        <v>6</v>
      </c>
      <c r="H16" s="48">
        <v>7</v>
      </c>
      <c r="I16" s="48">
        <v>8</v>
      </c>
      <c r="J16" s="48">
        <v>9</v>
      </c>
      <c r="K16" s="48">
        <v>10</v>
      </c>
      <c r="L16" s="48">
        <v>11</v>
      </c>
      <c r="M16" s="48">
        <v>12</v>
      </c>
      <c r="N16" s="48">
        <v>13</v>
      </c>
      <c r="O16" s="48">
        <v>14</v>
      </c>
      <c r="P16" s="48">
        <v>15</v>
      </c>
      <c r="Q16" s="48">
        <v>16</v>
      </c>
      <c r="R16" s="48">
        <v>17</v>
      </c>
      <c r="S16" s="48">
        <v>18</v>
      </c>
      <c r="T16" s="15"/>
      <c r="U16" s="29"/>
      <c r="V16" s="29"/>
      <c r="W16" s="29"/>
    </row>
    <row r="17" spans="1:23" s="1" customFormat="1" ht="11.25" customHeight="1">
      <c r="A17" s="272" t="s">
        <v>25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16"/>
      <c r="U17" s="30"/>
      <c r="V17" s="30"/>
      <c r="W17" s="30"/>
    </row>
    <row r="18" spans="1:23" s="6" customFormat="1" ht="11.25" customHeight="1">
      <c r="A18" s="117">
        <v>338</v>
      </c>
      <c r="B18" s="234" t="s">
        <v>155</v>
      </c>
      <c r="C18" s="234"/>
      <c r="D18" s="5">
        <v>100</v>
      </c>
      <c r="E18" s="93">
        <v>0.4</v>
      </c>
      <c r="F18" s="93">
        <v>0.4</v>
      </c>
      <c r="G18" s="93">
        <v>9.8</v>
      </c>
      <c r="H18" s="93">
        <f>E18*4+F18*9+G18*4</f>
        <v>44.400000000000006</v>
      </c>
      <c r="I18" s="9">
        <v>0.04</v>
      </c>
      <c r="J18" s="9">
        <v>0.02</v>
      </c>
      <c r="K18" s="5">
        <v>10</v>
      </c>
      <c r="L18" s="5">
        <v>0.02</v>
      </c>
      <c r="M18" s="9">
        <v>0.2</v>
      </c>
      <c r="N18" s="93">
        <v>16</v>
      </c>
      <c r="O18" s="93">
        <v>11</v>
      </c>
      <c r="P18" s="5">
        <v>0.03</v>
      </c>
      <c r="Q18" s="5">
        <v>0.002</v>
      </c>
      <c r="R18" s="9">
        <v>9</v>
      </c>
      <c r="S18" s="9">
        <v>2.2</v>
      </c>
      <c r="T18" s="21"/>
      <c r="U18" s="36"/>
      <c r="V18" s="36"/>
      <c r="W18" s="37"/>
    </row>
    <row r="19" spans="1:23" s="92" customFormat="1" ht="12" customHeight="1">
      <c r="A19" s="117">
        <v>15</v>
      </c>
      <c r="B19" s="231" t="s">
        <v>108</v>
      </c>
      <c r="C19" s="232"/>
      <c r="D19" s="80">
        <v>25</v>
      </c>
      <c r="E19" s="93">
        <f>2.32*D19/10</f>
        <v>5.799999999999999</v>
      </c>
      <c r="F19" s="93">
        <f>3.4*D19/10</f>
        <v>8.5</v>
      </c>
      <c r="G19" s="93">
        <f>0.01*D19/10</f>
        <v>0.025</v>
      </c>
      <c r="H19" s="93">
        <f>E19*4+F19*9+G19*4</f>
        <v>99.79999999999998</v>
      </c>
      <c r="I19" s="93">
        <f>0.004*D19/10</f>
        <v>0.01</v>
      </c>
      <c r="J19" s="93">
        <f>0.03*D19/10</f>
        <v>0.075</v>
      </c>
      <c r="K19" s="93">
        <f>0.07*D19/10</f>
        <v>0.17500000000000002</v>
      </c>
      <c r="L19" s="94">
        <f>0.023*D19/10</f>
        <v>0.057499999999999996</v>
      </c>
      <c r="M19" s="93">
        <f>0.05*D19/10</f>
        <v>0.125</v>
      </c>
      <c r="N19" s="93">
        <f>88*D19/10</f>
        <v>220</v>
      </c>
      <c r="O19" s="93">
        <f>50*D19/10</f>
        <v>125</v>
      </c>
      <c r="P19" s="93">
        <f>0.4*D19/10</f>
        <v>1</v>
      </c>
      <c r="Q19" s="94">
        <f>0.02*D19/10</f>
        <v>0.05</v>
      </c>
      <c r="R19" s="93">
        <f>3.5*D19/10</f>
        <v>8.75</v>
      </c>
      <c r="S19" s="93">
        <f>0.13*D19/10</f>
        <v>0.325</v>
      </c>
      <c r="T19" s="95"/>
      <c r="U19" s="36"/>
      <c r="V19" s="36"/>
      <c r="W19" s="37"/>
    </row>
    <row r="20" spans="1:23" s="6" customFormat="1" ht="21.75" customHeight="1">
      <c r="A20" s="117">
        <v>173</v>
      </c>
      <c r="B20" s="231" t="s">
        <v>59</v>
      </c>
      <c r="C20" s="232"/>
      <c r="D20" s="5">
        <v>250</v>
      </c>
      <c r="E20" s="93">
        <f>7.23*D20/200</f>
        <v>9.0375</v>
      </c>
      <c r="F20" s="93">
        <f>9.81*D20/200</f>
        <v>12.2625</v>
      </c>
      <c r="G20" s="93">
        <f>28.8*D20/200</f>
        <v>36</v>
      </c>
      <c r="H20" s="93">
        <f>E20*4+F20*9+G20*4</f>
        <v>290.5125</v>
      </c>
      <c r="I20" s="9">
        <f>0.22*D20/200</f>
        <v>0.275</v>
      </c>
      <c r="J20" s="9">
        <f>0.2*D20/200</f>
        <v>0.25</v>
      </c>
      <c r="K20" s="9">
        <f>1.3*D20/200</f>
        <v>1.625</v>
      </c>
      <c r="L20" s="94">
        <f>0.08*D20/200</f>
        <v>0.1</v>
      </c>
      <c r="M20" s="3">
        <v>0</v>
      </c>
      <c r="N20" s="93">
        <f>142.58*D20/200</f>
        <v>178.225</v>
      </c>
      <c r="O20" s="93">
        <f>222.38*D20/200</f>
        <v>277.975</v>
      </c>
      <c r="P20" s="5">
        <v>0</v>
      </c>
      <c r="Q20" s="12">
        <f>0.001*D20/200</f>
        <v>0.00125</v>
      </c>
      <c r="R20" s="9">
        <f>65.69*D20/200</f>
        <v>82.1125</v>
      </c>
      <c r="S20" s="9">
        <f>1.53*D20/200</f>
        <v>1.9125</v>
      </c>
      <c r="T20" s="21"/>
      <c r="U20" s="287" t="s">
        <v>101</v>
      </c>
      <c r="V20" s="287" t="s">
        <v>102</v>
      </c>
      <c r="W20" s="287" t="s">
        <v>103</v>
      </c>
    </row>
    <row r="21" spans="1:23" s="6" customFormat="1" ht="12.75" customHeight="1">
      <c r="A21" s="117">
        <v>382</v>
      </c>
      <c r="B21" s="224" t="s">
        <v>138</v>
      </c>
      <c r="C21" s="225"/>
      <c r="D21" s="5">
        <v>200</v>
      </c>
      <c r="E21" s="93">
        <f>3.5*D21/200</f>
        <v>3.5</v>
      </c>
      <c r="F21" s="93">
        <f>3.7*D21/200</f>
        <v>3.7</v>
      </c>
      <c r="G21" s="93">
        <f>25.5*D21/200</f>
        <v>25.5</v>
      </c>
      <c r="H21" s="9">
        <f>E21*4+F21*9+G21*4</f>
        <v>149.3</v>
      </c>
      <c r="I21" s="9">
        <f>0.06*D21/200</f>
        <v>0.06</v>
      </c>
      <c r="J21" s="9">
        <f>0.006*D21/200</f>
        <v>0.006</v>
      </c>
      <c r="K21" s="9">
        <f>1.6*D21/200</f>
        <v>1.6</v>
      </c>
      <c r="L21" s="12">
        <f>0.04*D21/200</f>
        <v>0.04</v>
      </c>
      <c r="M21" s="9">
        <f>0.4*D21/200</f>
        <v>0.4</v>
      </c>
      <c r="N21" s="93">
        <f>102.6*D21/200</f>
        <v>102.6</v>
      </c>
      <c r="O21" s="93">
        <f>178.4*D21/200</f>
        <v>178.4</v>
      </c>
      <c r="P21" s="9">
        <f>1*D21/200</f>
        <v>1</v>
      </c>
      <c r="Q21" s="12">
        <f>0.001*D21/200</f>
        <v>0.001</v>
      </c>
      <c r="R21" s="9">
        <f>24.8*D21/200</f>
        <v>24.8</v>
      </c>
      <c r="S21" s="9">
        <f>0.48*D21/200</f>
        <v>0.48</v>
      </c>
      <c r="T21" s="21"/>
      <c r="U21" s="287"/>
      <c r="V21" s="287"/>
      <c r="W21" s="287"/>
    </row>
    <row r="22" spans="1:23" s="92" customFormat="1" ht="12.75" customHeight="1">
      <c r="A22" s="99" t="s">
        <v>87</v>
      </c>
      <c r="B22" s="224" t="s">
        <v>60</v>
      </c>
      <c r="C22" s="225"/>
      <c r="D22" s="91">
        <v>40</v>
      </c>
      <c r="E22" s="93">
        <f>1.52*D22/30</f>
        <v>2.0266666666666664</v>
      </c>
      <c r="F22" s="94">
        <f>0.16*D22/30</f>
        <v>0.21333333333333335</v>
      </c>
      <c r="G22" s="94">
        <f>9.84*D22/30</f>
        <v>13.120000000000001</v>
      </c>
      <c r="H22" s="94">
        <f>E22*4+F22*9+G22*4</f>
        <v>62.50666666666667</v>
      </c>
      <c r="I22" s="94">
        <f>0.02*D22/30</f>
        <v>0.02666666666666667</v>
      </c>
      <c r="J22" s="94">
        <f>0.01*D22/30</f>
        <v>0.013333333333333334</v>
      </c>
      <c r="K22" s="94">
        <f>0.44*D22/30</f>
        <v>0.5866666666666667</v>
      </c>
      <c r="L22" s="94">
        <v>0</v>
      </c>
      <c r="M22" s="94">
        <f>0.7*D22/30</f>
        <v>0.9333333333333333</v>
      </c>
      <c r="N22" s="94">
        <f>4*D22/30</f>
        <v>5.333333333333333</v>
      </c>
      <c r="O22" s="94">
        <f>13*D22/30</f>
        <v>17.333333333333332</v>
      </c>
      <c r="P22" s="94">
        <f>0.008*D22/30</f>
        <v>0.010666666666666666</v>
      </c>
      <c r="Q22" s="94">
        <f>0.001*D22/30</f>
        <v>0.0013333333333333333</v>
      </c>
      <c r="R22" s="94">
        <v>0</v>
      </c>
      <c r="S22" s="94">
        <f>0.22*D22/30</f>
        <v>0.29333333333333333</v>
      </c>
      <c r="T22" s="95"/>
      <c r="U22" s="287"/>
      <c r="V22" s="287"/>
      <c r="W22" s="287"/>
    </row>
    <row r="23" spans="1:23" s="1" customFormat="1" ht="11.25" customHeight="1">
      <c r="A23" s="153" t="s">
        <v>26</v>
      </c>
      <c r="B23" s="83"/>
      <c r="C23" s="83"/>
      <c r="D23" s="171">
        <f aca="true" t="shared" si="0" ref="D23:S23">SUM(D18:D22)</f>
        <v>615</v>
      </c>
      <c r="E23" s="50">
        <f t="shared" si="0"/>
        <v>20.764166666666664</v>
      </c>
      <c r="F23" s="49">
        <f t="shared" si="0"/>
        <v>25.075833333333335</v>
      </c>
      <c r="G23" s="49">
        <f t="shared" si="0"/>
        <v>84.44500000000001</v>
      </c>
      <c r="H23" s="49">
        <f t="shared" si="0"/>
        <v>646.5191666666667</v>
      </c>
      <c r="I23" s="50">
        <f t="shared" si="0"/>
        <v>0.4116666666666667</v>
      </c>
      <c r="J23" s="50">
        <f t="shared" si="0"/>
        <v>0.3643333333333333</v>
      </c>
      <c r="K23" s="50">
        <f t="shared" si="0"/>
        <v>13.986666666666666</v>
      </c>
      <c r="L23" s="50">
        <f t="shared" si="0"/>
        <v>0.2175</v>
      </c>
      <c r="M23" s="50">
        <f t="shared" si="0"/>
        <v>1.6583333333333334</v>
      </c>
      <c r="N23" s="50">
        <f t="shared" si="0"/>
        <v>522.1583333333334</v>
      </c>
      <c r="O23" s="50">
        <f t="shared" si="0"/>
        <v>609.7083333333334</v>
      </c>
      <c r="P23" s="50">
        <f t="shared" si="0"/>
        <v>2.040666666666667</v>
      </c>
      <c r="Q23" s="51">
        <f t="shared" si="0"/>
        <v>0.05558333333333334</v>
      </c>
      <c r="R23" s="50">
        <f t="shared" si="0"/>
        <v>124.6625</v>
      </c>
      <c r="S23" s="50">
        <f t="shared" si="0"/>
        <v>5.210833333333333</v>
      </c>
      <c r="T23" s="49"/>
      <c r="U23" s="98">
        <f>AVERAGE(H24,H64,H101,H137,H176)</f>
        <v>0.23698206675317185</v>
      </c>
      <c r="V23" s="98">
        <f>AVERAGE(H37,H75,H111,H147,H187)</f>
        <v>0.3413687009803922</v>
      </c>
      <c r="W23" s="98">
        <f>AVERAGE(H44,H81,H118,H154,H192)</f>
        <v>0.117204679144385</v>
      </c>
    </row>
    <row r="24" spans="1:23" s="1" customFormat="1" ht="11.25" customHeight="1">
      <c r="A24" s="269" t="s">
        <v>73</v>
      </c>
      <c r="B24" s="270"/>
      <c r="C24" s="270"/>
      <c r="D24" s="271"/>
      <c r="E24" s="172">
        <f aca="true" t="shared" si="1" ref="E24:S24">E23/E46</f>
        <v>0.23071296296296293</v>
      </c>
      <c r="F24" s="173">
        <f t="shared" si="1"/>
        <v>0.2725634057971015</v>
      </c>
      <c r="G24" s="173">
        <f t="shared" si="1"/>
        <v>0.22048302872062664</v>
      </c>
      <c r="H24" s="173">
        <f t="shared" si="1"/>
        <v>0.23769087009803924</v>
      </c>
      <c r="I24" s="173">
        <f t="shared" si="1"/>
        <v>0.29404761904761906</v>
      </c>
      <c r="J24" s="173">
        <f t="shared" si="1"/>
        <v>0.2277083333333333</v>
      </c>
      <c r="K24" s="173">
        <f t="shared" si="1"/>
        <v>0.1998095238095238</v>
      </c>
      <c r="L24" s="173">
        <f t="shared" si="1"/>
        <v>0.24166666666666667</v>
      </c>
      <c r="M24" s="173">
        <f t="shared" si="1"/>
        <v>0.13819444444444445</v>
      </c>
      <c r="N24" s="173">
        <f t="shared" si="1"/>
        <v>0.43513194444444453</v>
      </c>
      <c r="O24" s="173">
        <f t="shared" si="1"/>
        <v>0.5080902777777778</v>
      </c>
      <c r="P24" s="173">
        <f t="shared" si="1"/>
        <v>0.1457619047619048</v>
      </c>
      <c r="Q24" s="173">
        <f t="shared" si="1"/>
        <v>0.5558333333333334</v>
      </c>
      <c r="R24" s="173">
        <f t="shared" si="1"/>
        <v>0.41554166666666664</v>
      </c>
      <c r="S24" s="173">
        <f t="shared" si="1"/>
        <v>0.28949074074074077</v>
      </c>
      <c r="T24" s="61"/>
      <c r="U24" s="60"/>
      <c r="V24" s="60"/>
      <c r="W24" s="60"/>
    </row>
    <row r="25" spans="1:23" s="1" customFormat="1" ht="11.25" customHeight="1">
      <c r="A25" s="144" t="s">
        <v>165</v>
      </c>
      <c r="B25" s="145"/>
      <c r="C25" s="145"/>
      <c r="D25" s="146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61"/>
      <c r="U25" s="60"/>
      <c r="V25" s="60"/>
      <c r="W25" s="60"/>
    </row>
    <row r="26" spans="1:23" s="1" customFormat="1" ht="11.25" customHeight="1">
      <c r="A26" s="166" t="s">
        <v>87</v>
      </c>
      <c r="B26" s="167" t="s">
        <v>166</v>
      </c>
      <c r="C26" s="145"/>
      <c r="D26" s="166">
        <v>200</v>
      </c>
      <c r="E26" s="168">
        <v>5.4</v>
      </c>
      <c r="F26" s="168">
        <v>4.4</v>
      </c>
      <c r="G26" s="168">
        <v>8.8</v>
      </c>
      <c r="H26" s="168">
        <v>96.4</v>
      </c>
      <c r="I26" s="168">
        <v>0.08</v>
      </c>
      <c r="J26" s="168">
        <v>0.307</v>
      </c>
      <c r="K26" s="168">
        <v>2.6</v>
      </c>
      <c r="L26" s="168">
        <v>0.067</v>
      </c>
      <c r="M26" s="168">
        <v>0.292</v>
      </c>
      <c r="N26" s="169">
        <v>240</v>
      </c>
      <c r="O26" s="169">
        <v>180</v>
      </c>
      <c r="P26" s="170">
        <v>0.8</v>
      </c>
      <c r="Q26" s="168">
        <v>0.018</v>
      </c>
      <c r="R26" s="169">
        <v>28</v>
      </c>
      <c r="S26" s="168">
        <v>0.12</v>
      </c>
      <c r="T26" s="61"/>
      <c r="U26" s="60"/>
      <c r="V26" s="60"/>
      <c r="W26" s="60"/>
    </row>
    <row r="27" spans="1:23" s="1" customFormat="1" ht="11.25" customHeight="1">
      <c r="A27" s="272" t="s">
        <v>27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16"/>
      <c r="U27" s="30"/>
      <c r="V27" s="30"/>
      <c r="W27" s="30"/>
    </row>
    <row r="28" spans="1:23" s="1" customFormat="1" ht="22.5" customHeight="1">
      <c r="A28" s="174" t="s">
        <v>139</v>
      </c>
      <c r="B28" s="222" t="s">
        <v>128</v>
      </c>
      <c r="C28" s="223"/>
      <c r="D28" s="175">
        <v>100</v>
      </c>
      <c r="E28" s="176">
        <f>0.94*D28/60</f>
        <v>1.5666666666666667</v>
      </c>
      <c r="F28" s="177">
        <f>7.22*D28/60</f>
        <v>12.033333333333333</v>
      </c>
      <c r="G28" s="177">
        <f>5.27*D28/60</f>
        <v>8.783333333333333</v>
      </c>
      <c r="H28" s="178">
        <f>E28*4+F28*9+G28*4</f>
        <v>149.7</v>
      </c>
      <c r="I28" s="175">
        <f>0.03*D28/60</f>
        <v>0.05</v>
      </c>
      <c r="J28" s="175">
        <f>0.03*D28/60</f>
        <v>0.05</v>
      </c>
      <c r="K28" s="175">
        <v>20.667</v>
      </c>
      <c r="L28" s="177">
        <f>0.001*D28/60</f>
        <v>0.0016666666666666668</v>
      </c>
      <c r="M28" s="175">
        <f>1.5*D28/60</f>
        <v>2.5</v>
      </c>
      <c r="N28" s="177">
        <f>19.7*D28/60</f>
        <v>32.833333333333336</v>
      </c>
      <c r="O28" s="179">
        <f>20.31*D28/60</f>
        <v>33.849999999999994</v>
      </c>
      <c r="P28" s="175">
        <f>0.3*D28/60</f>
        <v>0.5</v>
      </c>
      <c r="Q28" s="176">
        <f>0.001*D28/60</f>
        <v>0.0016666666666666668</v>
      </c>
      <c r="R28" s="176">
        <f>9.98*D28/60</f>
        <v>16.633333333333333</v>
      </c>
      <c r="S28" s="176">
        <f>0.34*D28/60</f>
        <v>0.5666666666666667</v>
      </c>
      <c r="T28" s="16"/>
      <c r="U28" s="30"/>
      <c r="V28" s="30"/>
      <c r="W28" s="30"/>
    </row>
    <row r="29" spans="1:23" s="6" customFormat="1" ht="18.75" customHeight="1">
      <c r="A29" s="117">
        <v>45</v>
      </c>
      <c r="B29" s="234" t="s">
        <v>126</v>
      </c>
      <c r="C29" s="234"/>
      <c r="D29" s="5">
        <v>100</v>
      </c>
      <c r="E29" s="93">
        <f>0.9*D29/60</f>
        <v>1.5</v>
      </c>
      <c r="F29" s="93">
        <f>1.31*D29/60</f>
        <v>2.183333333333333</v>
      </c>
      <c r="G29" s="93">
        <f>5.6*D29/60</f>
        <v>9.333333333333334</v>
      </c>
      <c r="H29" s="93">
        <f aca="true" t="shared" si="2" ref="H29:H35">E29*4+F29*9+G29*4</f>
        <v>62.983333333333334</v>
      </c>
      <c r="I29" s="93">
        <f>0.06*D29/60</f>
        <v>0.1</v>
      </c>
      <c r="J29" s="93">
        <f>0.07*D29/60</f>
        <v>0.11666666666666668</v>
      </c>
      <c r="K29" s="93">
        <f>15.5*D29/60</f>
        <v>25.833333333333332</v>
      </c>
      <c r="L29" s="94">
        <f>0.071*D29/60</f>
        <v>0.11833333333333333</v>
      </c>
      <c r="M29" s="93">
        <f>0.3*D29/60</f>
        <v>0.5</v>
      </c>
      <c r="N29" s="93">
        <f>28.2*D29/60</f>
        <v>47</v>
      </c>
      <c r="O29" s="93">
        <f>18.9*D29/60</f>
        <v>31.499999999999996</v>
      </c>
      <c r="P29" s="93">
        <f>0.2*D29/60</f>
        <v>0.3333333333333333</v>
      </c>
      <c r="Q29" s="94">
        <f>0.001*D29/60</f>
        <v>0.0016666666666666668</v>
      </c>
      <c r="R29" s="93">
        <f>10.5*D29/60</f>
        <v>17.5</v>
      </c>
      <c r="S29" s="93">
        <f>0.6*D29/60</f>
        <v>1</v>
      </c>
      <c r="T29" s="21"/>
      <c r="U29" s="32"/>
      <c r="V29" s="32"/>
      <c r="W29" s="32"/>
    </row>
    <row r="30" spans="1:23" s="92" customFormat="1" ht="22.5" customHeight="1">
      <c r="A30" s="99">
        <v>102</v>
      </c>
      <c r="B30" s="231" t="s">
        <v>109</v>
      </c>
      <c r="C30" s="232"/>
      <c r="D30" s="133" t="s">
        <v>143</v>
      </c>
      <c r="E30" s="93">
        <v>6.22</v>
      </c>
      <c r="F30" s="93">
        <v>3.99</v>
      </c>
      <c r="G30" s="93">
        <v>21.73</v>
      </c>
      <c r="H30" s="93">
        <f t="shared" si="2"/>
        <v>147.71</v>
      </c>
      <c r="I30" s="93">
        <v>0.27</v>
      </c>
      <c r="J30" s="93">
        <v>0.09</v>
      </c>
      <c r="K30" s="93">
        <v>9</v>
      </c>
      <c r="L30" s="94">
        <v>0.001</v>
      </c>
      <c r="M30" s="93">
        <v>0.257</v>
      </c>
      <c r="N30" s="93">
        <v>54.13</v>
      </c>
      <c r="O30" s="93">
        <v>183.2</v>
      </c>
      <c r="P30" s="93">
        <v>1.157</v>
      </c>
      <c r="Q30" s="94">
        <v>0.013</v>
      </c>
      <c r="R30" s="93">
        <v>49.63</v>
      </c>
      <c r="S30" s="93">
        <v>1.03</v>
      </c>
      <c r="T30" s="95"/>
      <c r="U30" s="96"/>
      <c r="V30" s="96"/>
      <c r="W30" s="96"/>
    </row>
    <row r="31" spans="1:23" s="92" customFormat="1" ht="22.5" customHeight="1">
      <c r="A31" s="99">
        <v>268</v>
      </c>
      <c r="B31" s="231" t="s">
        <v>130</v>
      </c>
      <c r="C31" s="232"/>
      <c r="D31" s="91">
        <v>100</v>
      </c>
      <c r="E31" s="93">
        <f>13.46*D31/80</f>
        <v>16.825</v>
      </c>
      <c r="F31" s="90">
        <f>10.86*D31/80</f>
        <v>13.575</v>
      </c>
      <c r="G31" s="90">
        <f>5.34*D31/80</f>
        <v>6.675</v>
      </c>
      <c r="H31" s="93">
        <f>E31*4+F31*9+G31*4</f>
        <v>216.17499999999998</v>
      </c>
      <c r="I31" s="93">
        <f>0.07*D31/80</f>
        <v>0.08750000000000001</v>
      </c>
      <c r="J31" s="93">
        <f>0.23*D31/80</f>
        <v>0.2875</v>
      </c>
      <c r="K31" s="93">
        <f>0.75*D31/80</f>
        <v>0.9375</v>
      </c>
      <c r="L31" s="89">
        <f>0.2*D31/80</f>
        <v>0.25</v>
      </c>
      <c r="M31" s="94">
        <f>0.021*D31/80</f>
        <v>0.026250000000000002</v>
      </c>
      <c r="N31" s="93">
        <f>73.74*D31/80</f>
        <v>92.17499999999998</v>
      </c>
      <c r="O31" s="90">
        <f>184.82*D31/80</f>
        <v>231.025</v>
      </c>
      <c r="P31" s="93">
        <f>2.28*D31/80</f>
        <v>2.8499999999999996</v>
      </c>
      <c r="Q31" s="94">
        <f>0.03*D31/80</f>
        <v>0.0375</v>
      </c>
      <c r="R31" s="93">
        <f>29.86*D31/80</f>
        <v>37.325</v>
      </c>
      <c r="S31" s="93">
        <f>1.93*D31/80</f>
        <v>2.4125</v>
      </c>
      <c r="T31" s="95"/>
      <c r="U31" s="96"/>
      <c r="V31" s="96"/>
      <c r="W31" s="96"/>
    </row>
    <row r="32" spans="1:23" s="6" customFormat="1" ht="23.25" customHeight="1">
      <c r="A32" s="117">
        <v>203</v>
      </c>
      <c r="B32" s="231" t="s">
        <v>111</v>
      </c>
      <c r="C32" s="232"/>
      <c r="D32" s="5">
        <v>180</v>
      </c>
      <c r="E32" s="93">
        <f>5.7*D32/150</f>
        <v>6.84</v>
      </c>
      <c r="F32" s="93">
        <f>3.43*D32/150</f>
        <v>4.116</v>
      </c>
      <c r="G32" s="93">
        <f>36.45*D32/150</f>
        <v>43.74000000000001</v>
      </c>
      <c r="H32" s="93">
        <f t="shared" si="2"/>
        <v>239.36400000000003</v>
      </c>
      <c r="I32" s="93">
        <f>0.09*D32/150</f>
        <v>0.108</v>
      </c>
      <c r="J32" s="93">
        <f>0.03*D32/150</f>
        <v>0.036</v>
      </c>
      <c r="K32" s="93">
        <v>0</v>
      </c>
      <c r="L32" s="12">
        <f>0.03*D32/150</f>
        <v>0.036</v>
      </c>
      <c r="M32" s="93">
        <f>1.25*D32/150</f>
        <v>1.5</v>
      </c>
      <c r="N32" s="93">
        <f>13.28*D32/150</f>
        <v>15.936</v>
      </c>
      <c r="O32" s="93">
        <f>46.21*D32/150</f>
        <v>55.452</v>
      </c>
      <c r="P32" s="93">
        <f>0.78*D32/150</f>
        <v>0.936</v>
      </c>
      <c r="Q32" s="94">
        <f>0.0015*D32/150</f>
        <v>0.0018000000000000002</v>
      </c>
      <c r="R32" s="93">
        <f>8.47*D32/150</f>
        <v>10.164000000000001</v>
      </c>
      <c r="S32" s="93">
        <f>0.86*D32/150</f>
        <v>1.032</v>
      </c>
      <c r="T32" s="21"/>
      <c r="U32" s="32"/>
      <c r="V32" s="32"/>
      <c r="W32" s="32"/>
    </row>
    <row r="33" spans="1:23" s="6" customFormat="1" ht="12.75" customHeight="1">
      <c r="A33" s="117">
        <v>377</v>
      </c>
      <c r="B33" s="233" t="s">
        <v>46</v>
      </c>
      <c r="C33" s="233"/>
      <c r="D33" s="5" t="s">
        <v>52</v>
      </c>
      <c r="E33" s="93">
        <v>0.26</v>
      </c>
      <c r="F33" s="93">
        <v>0.06</v>
      </c>
      <c r="G33" s="93">
        <v>15.22</v>
      </c>
      <c r="H33" s="93">
        <f t="shared" si="2"/>
        <v>62.46</v>
      </c>
      <c r="I33" s="93"/>
      <c r="J33" s="93">
        <v>0.01</v>
      </c>
      <c r="K33" s="93">
        <v>2.9</v>
      </c>
      <c r="L33" s="3">
        <v>0</v>
      </c>
      <c r="M33" s="93">
        <v>0.06</v>
      </c>
      <c r="N33" s="93">
        <v>8.05</v>
      </c>
      <c r="O33" s="93">
        <v>9.78</v>
      </c>
      <c r="P33" s="93">
        <v>0.017</v>
      </c>
      <c r="Q33" s="94">
        <v>0</v>
      </c>
      <c r="R33" s="93">
        <v>5.24</v>
      </c>
      <c r="S33" s="93">
        <v>0.87</v>
      </c>
      <c r="T33" s="21"/>
      <c r="U33" s="32"/>
      <c r="V33" s="32"/>
      <c r="W33" s="32"/>
    </row>
    <row r="34" spans="1:23" s="6" customFormat="1" ht="11.25" customHeight="1">
      <c r="A34" s="99" t="s">
        <v>87</v>
      </c>
      <c r="B34" s="231" t="s">
        <v>47</v>
      </c>
      <c r="C34" s="232"/>
      <c r="D34" s="5">
        <v>40</v>
      </c>
      <c r="E34" s="93">
        <f>2.64*D34/40</f>
        <v>2.64</v>
      </c>
      <c r="F34" s="93">
        <f>0.48*D34/40</f>
        <v>0.48</v>
      </c>
      <c r="G34" s="93">
        <f>13.68*D34/40</f>
        <v>13.680000000000001</v>
      </c>
      <c r="H34" s="93">
        <f t="shared" si="2"/>
        <v>69.60000000000001</v>
      </c>
      <c r="I34" s="89">
        <f>0.08*D34/40</f>
        <v>0.08</v>
      </c>
      <c r="J34" s="93">
        <f>0.04*D34/40</f>
        <v>0.04</v>
      </c>
      <c r="K34" s="91">
        <v>0</v>
      </c>
      <c r="L34" s="91">
        <v>0</v>
      </c>
      <c r="M34" s="93">
        <f>2.4*D34/100</f>
        <v>0.96</v>
      </c>
      <c r="N34" s="93">
        <f>14*D34/40</f>
        <v>14</v>
      </c>
      <c r="O34" s="93">
        <f>63.2*D34/40</f>
        <v>63.2</v>
      </c>
      <c r="P34" s="93">
        <f>1.2*D34/40</f>
        <v>1.2</v>
      </c>
      <c r="Q34" s="94">
        <f>0.001*D34/40</f>
        <v>0.001</v>
      </c>
      <c r="R34" s="93">
        <f>9.4*D34/40</f>
        <v>9.4</v>
      </c>
      <c r="S34" s="89">
        <f>0.78*D34/40</f>
        <v>0.78</v>
      </c>
      <c r="T34" s="38"/>
      <c r="U34" s="39"/>
      <c r="V34" s="39"/>
      <c r="W34" s="39"/>
    </row>
    <row r="35" spans="1:23" s="6" customFormat="1" ht="11.25" customHeight="1">
      <c r="A35" s="99" t="s">
        <v>87</v>
      </c>
      <c r="B35" s="231" t="s">
        <v>60</v>
      </c>
      <c r="C35" s="232"/>
      <c r="D35" s="5">
        <v>40</v>
      </c>
      <c r="E35" s="93">
        <f>1.52*D35/30</f>
        <v>2.0266666666666664</v>
      </c>
      <c r="F35" s="94">
        <f>0.16*D35/30</f>
        <v>0.21333333333333335</v>
      </c>
      <c r="G35" s="94">
        <f>9.84*D35/30</f>
        <v>13.120000000000001</v>
      </c>
      <c r="H35" s="94">
        <f t="shared" si="2"/>
        <v>62.50666666666667</v>
      </c>
      <c r="I35" s="94">
        <f>0.02*D35/30</f>
        <v>0.02666666666666667</v>
      </c>
      <c r="J35" s="94">
        <f>0.01*D35/30</f>
        <v>0.013333333333333334</v>
      </c>
      <c r="K35" s="94">
        <f>0.44*D35/30</f>
        <v>0.5866666666666667</v>
      </c>
      <c r="L35" s="94">
        <v>0</v>
      </c>
      <c r="M35" s="94">
        <f>0.7*D35/30</f>
        <v>0.9333333333333333</v>
      </c>
      <c r="N35" s="94">
        <f>4*D35/30</f>
        <v>5.333333333333333</v>
      </c>
      <c r="O35" s="94">
        <f>13*D35/30</f>
        <v>17.333333333333332</v>
      </c>
      <c r="P35" s="94">
        <f>0.008*D35/30</f>
        <v>0.010666666666666666</v>
      </c>
      <c r="Q35" s="94">
        <f>0.001*D35/30</f>
        <v>0.0013333333333333333</v>
      </c>
      <c r="R35" s="94">
        <v>0</v>
      </c>
      <c r="S35" s="94">
        <f>0.22*D35/30</f>
        <v>0.29333333333333333</v>
      </c>
      <c r="T35" s="21"/>
      <c r="U35" s="32"/>
      <c r="V35" s="32"/>
      <c r="W35" s="32"/>
    </row>
    <row r="36" spans="1:23" s="1" customFormat="1" ht="11.25" customHeight="1">
      <c r="A36" s="153" t="s">
        <v>28</v>
      </c>
      <c r="B36" s="83"/>
      <c r="C36" s="83"/>
      <c r="D36" s="180">
        <v>929</v>
      </c>
      <c r="E36" s="50">
        <f>SUM(E29:E35)</f>
        <v>36.31166666666666</v>
      </c>
      <c r="F36" s="50">
        <f>SUM(F29:F35)</f>
        <v>24.61766666666667</v>
      </c>
      <c r="G36" s="50">
        <f>SUM(G29:G35)</f>
        <v>123.49833333333335</v>
      </c>
      <c r="H36" s="49">
        <f>SUM(H29:H35)</f>
        <v>860.7990000000001</v>
      </c>
      <c r="I36" s="50">
        <f aca="true" t="shared" si="3" ref="I36:R36">SUM(I29:I35)</f>
        <v>0.6721666666666666</v>
      </c>
      <c r="J36" s="50">
        <f t="shared" si="3"/>
        <v>0.5935</v>
      </c>
      <c r="K36" s="50">
        <f t="shared" si="3"/>
        <v>39.25749999999999</v>
      </c>
      <c r="L36" s="50">
        <f t="shared" si="3"/>
        <v>0.4053333333333333</v>
      </c>
      <c r="M36" s="50">
        <f t="shared" si="3"/>
        <v>4.236583333333333</v>
      </c>
      <c r="N36" s="50">
        <f t="shared" si="3"/>
        <v>236.62433333333334</v>
      </c>
      <c r="O36" s="50">
        <f t="shared" si="3"/>
        <v>591.4903333333334</v>
      </c>
      <c r="P36" s="50">
        <f t="shared" si="3"/>
        <v>6.504</v>
      </c>
      <c r="Q36" s="51">
        <f t="shared" si="3"/>
        <v>0.0563</v>
      </c>
      <c r="R36" s="50">
        <f t="shared" si="3"/>
        <v>129.259</v>
      </c>
      <c r="S36" s="50">
        <f>SUM(S29:S35)</f>
        <v>7.417833333333334</v>
      </c>
      <c r="T36" s="49"/>
      <c r="U36" s="52"/>
      <c r="V36" s="52"/>
      <c r="W36" s="52"/>
    </row>
    <row r="37" spans="1:23" s="1" customFormat="1" ht="11.25" customHeight="1">
      <c r="A37" s="269" t="s">
        <v>73</v>
      </c>
      <c r="B37" s="270"/>
      <c r="C37" s="270"/>
      <c r="D37" s="271"/>
      <c r="E37" s="172">
        <f>E36/E46</f>
        <v>0.4034629629629629</v>
      </c>
      <c r="F37" s="173">
        <f aca="true" t="shared" si="4" ref="F37:S37">F36/F46</f>
        <v>0.26758333333333334</v>
      </c>
      <c r="G37" s="173">
        <f t="shared" si="4"/>
        <v>0.32244995648389907</v>
      </c>
      <c r="H37" s="173">
        <f t="shared" si="4"/>
        <v>0.3164702205882353</v>
      </c>
      <c r="I37" s="173">
        <f t="shared" si="4"/>
        <v>0.4801190476190476</v>
      </c>
      <c r="J37" s="173">
        <f t="shared" si="4"/>
        <v>0.3709375</v>
      </c>
      <c r="K37" s="173">
        <f t="shared" si="4"/>
        <v>0.5608214285714285</v>
      </c>
      <c r="L37" s="173">
        <f t="shared" si="4"/>
        <v>0.45037037037037037</v>
      </c>
      <c r="M37" s="173">
        <f t="shared" si="4"/>
        <v>0.3530486111111111</v>
      </c>
      <c r="N37" s="173">
        <f t="shared" si="4"/>
        <v>0.19718694444444446</v>
      </c>
      <c r="O37" s="173">
        <f t="shared" si="4"/>
        <v>0.4929086111111112</v>
      </c>
      <c r="P37" s="173">
        <f t="shared" si="4"/>
        <v>0.4645714285714285</v>
      </c>
      <c r="Q37" s="173">
        <f t="shared" si="4"/>
        <v>0.563</v>
      </c>
      <c r="R37" s="173">
        <f t="shared" si="4"/>
        <v>0.43086333333333326</v>
      </c>
      <c r="S37" s="173">
        <f t="shared" si="4"/>
        <v>0.4121018518518519</v>
      </c>
      <c r="T37" s="61"/>
      <c r="U37" s="52"/>
      <c r="V37" s="52"/>
      <c r="W37" s="52"/>
    </row>
    <row r="38" spans="1:23" s="1" customFormat="1" ht="11.25" customHeight="1">
      <c r="A38" s="154" t="s">
        <v>106</v>
      </c>
      <c r="B38" s="106"/>
      <c r="C38" s="106"/>
      <c r="D38" s="107"/>
      <c r="E38" s="181">
        <f>E28+E30+E31+E32+E33+E34+E35</f>
        <v>36.37833333333333</v>
      </c>
      <c r="F38" s="181">
        <f aca="true" t="shared" si="5" ref="F38:S38">F28+F30+F31+F32+F33+F34+F35</f>
        <v>34.46766666666666</v>
      </c>
      <c r="G38" s="181">
        <f t="shared" si="5"/>
        <v>122.94833333333335</v>
      </c>
      <c r="H38" s="181">
        <f t="shared" si="5"/>
        <v>947.5156666666667</v>
      </c>
      <c r="I38" s="181">
        <f t="shared" si="5"/>
        <v>0.6221666666666666</v>
      </c>
      <c r="J38" s="181">
        <f t="shared" si="5"/>
        <v>0.5268333333333333</v>
      </c>
      <c r="K38" s="181">
        <f t="shared" si="5"/>
        <v>34.091166666666666</v>
      </c>
      <c r="L38" s="181">
        <f t="shared" si="5"/>
        <v>0.2886666666666666</v>
      </c>
      <c r="M38" s="181">
        <f t="shared" si="5"/>
        <v>6.236583333333334</v>
      </c>
      <c r="N38" s="181">
        <f t="shared" si="5"/>
        <v>222.45766666666668</v>
      </c>
      <c r="O38" s="181">
        <f t="shared" si="5"/>
        <v>593.8403333333334</v>
      </c>
      <c r="P38" s="181">
        <f t="shared" si="5"/>
        <v>6.6706666666666665</v>
      </c>
      <c r="Q38" s="181">
        <f t="shared" si="5"/>
        <v>0.0563</v>
      </c>
      <c r="R38" s="181">
        <f t="shared" si="5"/>
        <v>128.39233333333334</v>
      </c>
      <c r="S38" s="181">
        <f t="shared" si="5"/>
        <v>6.984500000000001</v>
      </c>
      <c r="T38" s="61"/>
      <c r="U38" s="52"/>
      <c r="V38" s="52"/>
      <c r="W38" s="52"/>
    </row>
    <row r="39" spans="1:23" s="1" customFormat="1" ht="11.25" customHeight="1">
      <c r="A39" s="272" t="s">
        <v>29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16"/>
      <c r="U39" s="30"/>
      <c r="V39" s="30"/>
      <c r="W39" s="30"/>
    </row>
    <row r="40" spans="1:23" s="1" customFormat="1" ht="24" customHeight="1">
      <c r="A40" s="99">
        <v>341</v>
      </c>
      <c r="B40" s="231" t="s">
        <v>136</v>
      </c>
      <c r="C40" s="232"/>
      <c r="D40" s="80">
        <v>130</v>
      </c>
      <c r="E40" s="93">
        <f>0.39*D40/60</f>
        <v>0.8450000000000001</v>
      </c>
      <c r="F40" s="93">
        <f>0.18*D40/60</f>
        <v>0.38999999999999996</v>
      </c>
      <c r="G40" s="93">
        <f>5.37*D40/60</f>
        <v>11.635</v>
      </c>
      <c r="H40" s="93">
        <f>E40*4+F40*9+G40*4</f>
        <v>53.43</v>
      </c>
      <c r="I40" s="94">
        <f>0.02*D40/60</f>
        <v>0.043333333333333335</v>
      </c>
      <c r="J40" s="93">
        <f>0.02*D40/60</f>
        <v>0.043333333333333335</v>
      </c>
      <c r="K40" s="93">
        <f>22.95*D40/60</f>
        <v>49.725</v>
      </c>
      <c r="L40" s="94">
        <f>0.02*D40/60</f>
        <v>0.043333333333333335</v>
      </c>
      <c r="M40" s="89">
        <f>0.6*D40/60</f>
        <v>1.3</v>
      </c>
      <c r="N40" s="90">
        <f>15*D40/60</f>
        <v>32.5</v>
      </c>
      <c r="O40" s="93">
        <f>10.2*D40/60</f>
        <v>22.1</v>
      </c>
      <c r="P40" s="93">
        <f>0.13*D40/60</f>
        <v>0.2816666666666667</v>
      </c>
      <c r="Q40" s="94">
        <f>0.001*D40/60</f>
        <v>0.0021666666666666666</v>
      </c>
      <c r="R40" s="93">
        <f>6.6*D40/60</f>
        <v>14.3</v>
      </c>
      <c r="S40" s="93">
        <f>0.75*D40/60</f>
        <v>1.625</v>
      </c>
      <c r="T40" s="16"/>
      <c r="U40" s="30"/>
      <c r="V40" s="30"/>
      <c r="W40" s="30"/>
    </row>
    <row r="41" spans="1:23" s="6" customFormat="1" ht="11.25" customHeight="1">
      <c r="A41" s="99"/>
      <c r="B41" s="231" t="s">
        <v>133</v>
      </c>
      <c r="C41" s="232"/>
      <c r="D41" s="91">
        <v>35</v>
      </c>
      <c r="E41" s="93">
        <v>0.1</v>
      </c>
      <c r="F41" s="93">
        <v>0.01</v>
      </c>
      <c r="G41" s="93">
        <v>27.93</v>
      </c>
      <c r="H41" s="93">
        <f>E41*4+F41*9+G41*4</f>
        <v>112.21</v>
      </c>
      <c r="I41" s="94"/>
      <c r="J41" s="93"/>
      <c r="K41" s="93"/>
      <c r="L41" s="94"/>
      <c r="M41" s="89"/>
      <c r="N41" s="90">
        <v>8.75</v>
      </c>
      <c r="O41" s="93">
        <v>4.2</v>
      </c>
      <c r="P41" s="93"/>
      <c r="Q41" s="94"/>
      <c r="R41" s="93">
        <v>2.1</v>
      </c>
      <c r="S41" s="93">
        <v>0.49</v>
      </c>
      <c r="T41" s="21"/>
      <c r="U41" s="32"/>
      <c r="V41" s="32"/>
      <c r="W41" s="32"/>
    </row>
    <row r="42" spans="1:23" s="6" customFormat="1" ht="11.25" customHeight="1">
      <c r="A42" s="117">
        <v>386</v>
      </c>
      <c r="B42" s="233" t="s">
        <v>112</v>
      </c>
      <c r="C42" s="233"/>
      <c r="D42" s="91">
        <v>200</v>
      </c>
      <c r="E42" s="93">
        <v>5.8</v>
      </c>
      <c r="F42" s="93">
        <v>5</v>
      </c>
      <c r="G42" s="93">
        <v>8</v>
      </c>
      <c r="H42" s="93">
        <f>E42*4+F42*9+G42*4</f>
        <v>100.2</v>
      </c>
      <c r="I42" s="94">
        <v>0.04</v>
      </c>
      <c r="J42" s="94">
        <v>0.26</v>
      </c>
      <c r="K42" s="93">
        <v>0.6</v>
      </c>
      <c r="L42" s="93">
        <v>0.04</v>
      </c>
      <c r="M42" s="89">
        <v>0.001</v>
      </c>
      <c r="N42" s="93">
        <v>240</v>
      </c>
      <c r="O42" s="93">
        <v>184</v>
      </c>
      <c r="P42" s="90">
        <v>0.4</v>
      </c>
      <c r="Q42" s="94">
        <v>0.001</v>
      </c>
      <c r="R42" s="93">
        <v>28</v>
      </c>
      <c r="S42" s="93">
        <v>0.2</v>
      </c>
      <c r="T42" s="21"/>
      <c r="U42" s="32"/>
      <c r="V42" s="32"/>
      <c r="W42" s="32"/>
    </row>
    <row r="43" spans="1:23" s="1" customFormat="1" ht="11.25" customHeight="1">
      <c r="A43" s="155" t="s">
        <v>30</v>
      </c>
      <c r="B43" s="84"/>
      <c r="C43" s="84"/>
      <c r="D43" s="86">
        <f>SUM(D40:D42)</f>
        <v>365</v>
      </c>
      <c r="E43" s="182">
        <f aca="true" t="shared" si="6" ref="E43:S43">SUM(E40:E42)</f>
        <v>6.745</v>
      </c>
      <c r="F43" s="182">
        <f t="shared" si="6"/>
        <v>5.4</v>
      </c>
      <c r="G43" s="182">
        <f t="shared" si="6"/>
        <v>47.565</v>
      </c>
      <c r="H43" s="182">
        <f t="shared" si="6"/>
        <v>265.84</v>
      </c>
      <c r="I43" s="182">
        <f t="shared" si="6"/>
        <v>0.08333333333333334</v>
      </c>
      <c r="J43" s="182">
        <f t="shared" si="6"/>
        <v>0.30333333333333334</v>
      </c>
      <c r="K43" s="182">
        <f t="shared" si="6"/>
        <v>50.325</v>
      </c>
      <c r="L43" s="182">
        <f t="shared" si="6"/>
        <v>0.08333333333333334</v>
      </c>
      <c r="M43" s="182">
        <f t="shared" si="6"/>
        <v>1.301</v>
      </c>
      <c r="N43" s="182">
        <f t="shared" si="6"/>
        <v>281.25</v>
      </c>
      <c r="O43" s="182">
        <f t="shared" si="6"/>
        <v>210.3</v>
      </c>
      <c r="P43" s="182">
        <f t="shared" si="6"/>
        <v>0.6816666666666666</v>
      </c>
      <c r="Q43" s="182">
        <f t="shared" si="6"/>
        <v>0.0031666666666666666</v>
      </c>
      <c r="R43" s="182">
        <f t="shared" si="6"/>
        <v>44.400000000000006</v>
      </c>
      <c r="S43" s="182">
        <f t="shared" si="6"/>
        <v>2.3150000000000004</v>
      </c>
      <c r="T43" s="49"/>
      <c r="U43" s="52"/>
      <c r="V43" s="52"/>
      <c r="W43" s="52"/>
    </row>
    <row r="44" spans="1:23" s="1" customFormat="1" ht="11.25" customHeight="1">
      <c r="A44" s="269" t="s">
        <v>73</v>
      </c>
      <c r="B44" s="270"/>
      <c r="C44" s="270"/>
      <c r="D44" s="271"/>
      <c r="E44" s="183">
        <f>E43/E46</f>
        <v>0.07494444444444445</v>
      </c>
      <c r="F44" s="173">
        <f aca="true" t="shared" si="7" ref="F44:S44">F43/F46</f>
        <v>0.058695652173913045</v>
      </c>
      <c r="G44" s="173">
        <f t="shared" si="7"/>
        <v>0.1241906005221932</v>
      </c>
      <c r="H44" s="173">
        <f t="shared" si="7"/>
        <v>0.09773529411764705</v>
      </c>
      <c r="I44" s="173">
        <f t="shared" si="7"/>
        <v>0.059523809523809534</v>
      </c>
      <c r="J44" s="173">
        <f t="shared" si="7"/>
        <v>0.18958333333333333</v>
      </c>
      <c r="K44" s="173">
        <f t="shared" si="7"/>
        <v>0.7189285714285715</v>
      </c>
      <c r="L44" s="173">
        <f t="shared" si="7"/>
        <v>0.0925925925925926</v>
      </c>
      <c r="M44" s="173">
        <f t="shared" si="7"/>
        <v>0.10841666666666666</v>
      </c>
      <c r="N44" s="173">
        <f t="shared" si="7"/>
        <v>0.234375</v>
      </c>
      <c r="O44" s="173">
        <f t="shared" si="7"/>
        <v>0.17525000000000002</v>
      </c>
      <c r="P44" s="173">
        <f t="shared" si="7"/>
        <v>0.04869047619047619</v>
      </c>
      <c r="Q44" s="173">
        <f t="shared" si="7"/>
        <v>0.03166666666666666</v>
      </c>
      <c r="R44" s="173">
        <f t="shared" si="7"/>
        <v>0.14800000000000002</v>
      </c>
      <c r="S44" s="173">
        <f t="shared" si="7"/>
        <v>0.12861111111111112</v>
      </c>
      <c r="T44" s="61"/>
      <c r="U44" s="52"/>
      <c r="V44" s="52"/>
      <c r="W44" s="52"/>
    </row>
    <row r="45" spans="1:23" s="1" customFormat="1" ht="11.25" customHeight="1">
      <c r="A45" s="246" t="s">
        <v>72</v>
      </c>
      <c r="B45" s="247"/>
      <c r="C45" s="247"/>
      <c r="D45" s="248"/>
      <c r="E45" s="50">
        <f aca="true" t="shared" si="8" ref="E45:S45">SUM(E23,E36,E43)</f>
        <v>63.82083333333332</v>
      </c>
      <c r="F45" s="49">
        <f t="shared" si="8"/>
        <v>55.0935</v>
      </c>
      <c r="G45" s="49">
        <f t="shared" si="8"/>
        <v>255.50833333333335</v>
      </c>
      <c r="H45" s="49">
        <f t="shared" si="8"/>
        <v>1773.1581666666668</v>
      </c>
      <c r="I45" s="50">
        <f t="shared" si="8"/>
        <v>1.1671666666666665</v>
      </c>
      <c r="J45" s="50">
        <f t="shared" si="8"/>
        <v>1.2611666666666665</v>
      </c>
      <c r="K45" s="50">
        <f t="shared" si="8"/>
        <v>103.56916666666666</v>
      </c>
      <c r="L45" s="50">
        <f t="shared" si="8"/>
        <v>0.7061666666666667</v>
      </c>
      <c r="M45" s="50">
        <f t="shared" si="8"/>
        <v>7.195916666666666</v>
      </c>
      <c r="N45" s="50">
        <f t="shared" si="8"/>
        <v>1040.0326666666667</v>
      </c>
      <c r="O45" s="49">
        <f t="shared" si="8"/>
        <v>1411.4986666666666</v>
      </c>
      <c r="P45" s="51">
        <f t="shared" si="8"/>
        <v>9.226333333333333</v>
      </c>
      <c r="Q45" s="51">
        <f t="shared" si="8"/>
        <v>0.11505</v>
      </c>
      <c r="R45" s="50">
        <f t="shared" si="8"/>
        <v>298.3215</v>
      </c>
      <c r="S45" s="50">
        <f t="shared" si="8"/>
        <v>14.943666666666669</v>
      </c>
      <c r="T45" s="53"/>
      <c r="U45" s="52"/>
      <c r="V45" s="52"/>
      <c r="W45" s="52"/>
    </row>
    <row r="46" spans="1:23" s="1" customFormat="1" ht="11.25" customHeight="1">
      <c r="A46" s="246" t="s">
        <v>74</v>
      </c>
      <c r="B46" s="247"/>
      <c r="C46" s="247"/>
      <c r="D46" s="248"/>
      <c r="E46" s="93">
        <v>90</v>
      </c>
      <c r="F46" s="4">
        <v>92</v>
      </c>
      <c r="G46" s="4">
        <v>383</v>
      </c>
      <c r="H46" s="4">
        <v>2720</v>
      </c>
      <c r="I46" s="9">
        <v>1.4</v>
      </c>
      <c r="J46" s="9">
        <v>1.6</v>
      </c>
      <c r="K46" s="5">
        <v>70</v>
      </c>
      <c r="L46" s="9">
        <v>0.9</v>
      </c>
      <c r="M46" s="91">
        <v>12</v>
      </c>
      <c r="N46" s="5">
        <v>1200</v>
      </c>
      <c r="O46" s="5">
        <v>1200</v>
      </c>
      <c r="P46" s="91">
        <v>14</v>
      </c>
      <c r="Q46" s="4">
        <v>0.1</v>
      </c>
      <c r="R46" s="5">
        <v>300</v>
      </c>
      <c r="S46" s="9">
        <v>18</v>
      </c>
      <c r="T46" s="21"/>
      <c r="U46" s="32"/>
      <c r="V46" s="32"/>
      <c r="W46" s="32"/>
    </row>
    <row r="47" spans="1:23" s="1" customFormat="1" ht="11.25" customHeight="1">
      <c r="A47" s="269" t="s">
        <v>73</v>
      </c>
      <c r="B47" s="270"/>
      <c r="C47" s="270"/>
      <c r="D47" s="271"/>
      <c r="E47" s="98">
        <f aca="true" t="shared" si="9" ref="E47:S47">E45/E46</f>
        <v>0.7091203703703702</v>
      </c>
      <c r="F47" s="56">
        <f t="shared" si="9"/>
        <v>0.5988423913043478</v>
      </c>
      <c r="G47" s="55">
        <f t="shared" si="9"/>
        <v>0.6671235857267189</v>
      </c>
      <c r="H47" s="55">
        <f t="shared" si="9"/>
        <v>0.6518963848039216</v>
      </c>
      <c r="I47" s="55">
        <f t="shared" si="9"/>
        <v>0.8336904761904761</v>
      </c>
      <c r="J47" s="55">
        <f t="shared" si="9"/>
        <v>0.7882291666666665</v>
      </c>
      <c r="K47" s="55">
        <f t="shared" si="9"/>
        <v>1.4795595238095238</v>
      </c>
      <c r="L47" s="57">
        <f t="shared" si="9"/>
        <v>0.7846296296296297</v>
      </c>
      <c r="M47" s="55">
        <f t="shared" si="9"/>
        <v>0.5996597222222222</v>
      </c>
      <c r="N47" s="55">
        <f t="shared" si="9"/>
        <v>0.866693888888889</v>
      </c>
      <c r="O47" s="55">
        <f t="shared" si="9"/>
        <v>1.176248888888889</v>
      </c>
      <c r="P47" s="55">
        <f t="shared" si="9"/>
        <v>0.6590238095238095</v>
      </c>
      <c r="Q47" s="55">
        <f>Q45/Q46</f>
        <v>1.1504999999999999</v>
      </c>
      <c r="R47" s="55">
        <f t="shared" si="9"/>
        <v>0.9944050000000001</v>
      </c>
      <c r="S47" s="57">
        <f t="shared" si="9"/>
        <v>0.8302037037037038</v>
      </c>
      <c r="T47" s="58"/>
      <c r="U47" s="59"/>
      <c r="V47" s="59"/>
      <c r="W47" s="59"/>
    </row>
    <row r="48" spans="1:23" s="1" customFormat="1" ht="11.25" customHeight="1">
      <c r="A48" s="156" t="s">
        <v>158</v>
      </c>
      <c r="B48" s="134"/>
      <c r="C48" s="135"/>
      <c r="D48" s="135"/>
      <c r="E48" s="136"/>
      <c r="F48" s="137"/>
      <c r="G48" s="138"/>
      <c r="H48" s="2"/>
      <c r="I48" s="6"/>
      <c r="J48" s="6"/>
      <c r="K48" s="6"/>
      <c r="L48" s="244"/>
      <c r="M48" s="244"/>
      <c r="N48" s="244"/>
      <c r="O48" s="244"/>
      <c r="P48" s="244"/>
      <c r="Q48" s="244"/>
      <c r="R48" s="244"/>
      <c r="S48" s="244"/>
      <c r="T48" s="17"/>
      <c r="U48" s="25"/>
      <c r="V48" s="25"/>
      <c r="W48" s="25"/>
    </row>
    <row r="49" spans="1:23" s="1" customFormat="1" ht="11.25" customHeight="1">
      <c r="A49" s="152"/>
      <c r="B49" s="70"/>
      <c r="C49" s="131"/>
      <c r="D49" s="131"/>
      <c r="E49" s="121"/>
      <c r="F49" s="92"/>
      <c r="G49" s="2"/>
      <c r="H49" s="2"/>
      <c r="I49" s="92"/>
      <c r="J49" s="92"/>
      <c r="K49" s="92"/>
      <c r="L49" s="132"/>
      <c r="M49" s="132"/>
      <c r="N49" s="132"/>
      <c r="O49" s="132"/>
      <c r="P49" s="132"/>
      <c r="Q49" s="132"/>
      <c r="R49" s="132"/>
      <c r="S49" s="147" t="s">
        <v>86</v>
      </c>
      <c r="T49" s="17"/>
      <c r="U49" s="25"/>
      <c r="V49" s="25"/>
      <c r="W49" s="25"/>
    </row>
    <row r="50" spans="1:24" s="1" customFormat="1" ht="11.25" customHeight="1">
      <c r="A50" s="256" t="s">
        <v>31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18"/>
      <c r="U50" s="31"/>
      <c r="V50" s="31"/>
      <c r="W50" s="31"/>
      <c r="X50" s="69"/>
    </row>
    <row r="51" spans="1:23" s="1" customFormat="1" ht="11.25" customHeight="1">
      <c r="A51" s="151" t="s">
        <v>64</v>
      </c>
      <c r="B51" s="70"/>
      <c r="C51" s="70"/>
      <c r="D51" s="2"/>
      <c r="E51" s="44"/>
      <c r="F51" s="243" t="s">
        <v>32</v>
      </c>
      <c r="G51" s="243"/>
      <c r="H51" s="243"/>
      <c r="I51" s="6"/>
      <c r="J51" s="6"/>
      <c r="K51" s="252" t="s">
        <v>1</v>
      </c>
      <c r="L51" s="252"/>
      <c r="M51" s="280" t="s">
        <v>82</v>
      </c>
      <c r="N51" s="280"/>
      <c r="O51" s="280"/>
      <c r="P51" s="280"/>
      <c r="Q51" s="6"/>
      <c r="R51" s="6"/>
      <c r="S51" s="6"/>
      <c r="T51" s="19"/>
      <c r="U51" s="26"/>
      <c r="V51" s="26"/>
      <c r="W51" s="26"/>
    </row>
    <row r="52" spans="1:23" s="1" customFormat="1" ht="11.25" customHeight="1">
      <c r="A52" s="152"/>
      <c r="B52" s="70"/>
      <c r="C52" s="70"/>
      <c r="D52" s="252" t="s">
        <v>2</v>
      </c>
      <c r="E52" s="252"/>
      <c r="F52" s="11">
        <v>1</v>
      </c>
      <c r="G52" s="6"/>
      <c r="H52" s="2"/>
      <c r="I52" s="2"/>
      <c r="J52" s="2"/>
      <c r="K52" s="252" t="s">
        <v>3</v>
      </c>
      <c r="L52" s="252"/>
      <c r="M52" s="243" t="s">
        <v>146</v>
      </c>
      <c r="N52" s="243"/>
      <c r="O52" s="243"/>
      <c r="P52" s="243"/>
      <c r="Q52" s="243"/>
      <c r="R52" s="243"/>
      <c r="S52" s="243"/>
      <c r="T52" s="20"/>
      <c r="U52" s="27"/>
      <c r="V52" s="27"/>
      <c r="W52" s="27"/>
    </row>
    <row r="53" spans="1:23" s="1" customFormat="1" ht="21.75" customHeight="1">
      <c r="A53" s="254" t="s">
        <v>4</v>
      </c>
      <c r="B53" s="254" t="s">
        <v>5</v>
      </c>
      <c r="C53" s="254"/>
      <c r="D53" s="254" t="s">
        <v>6</v>
      </c>
      <c r="E53" s="258" t="s">
        <v>7</v>
      </c>
      <c r="F53" s="258"/>
      <c r="G53" s="258"/>
      <c r="H53" s="254" t="s">
        <v>8</v>
      </c>
      <c r="I53" s="258" t="s">
        <v>9</v>
      </c>
      <c r="J53" s="258"/>
      <c r="K53" s="258"/>
      <c r="L53" s="258"/>
      <c r="M53" s="258"/>
      <c r="N53" s="258" t="s">
        <v>10</v>
      </c>
      <c r="O53" s="258"/>
      <c r="P53" s="258"/>
      <c r="Q53" s="258"/>
      <c r="R53" s="258"/>
      <c r="S53" s="258"/>
      <c r="T53" s="14"/>
      <c r="U53" s="28"/>
      <c r="V53" s="28"/>
      <c r="W53" s="28"/>
    </row>
    <row r="54" spans="1:23" s="1" customFormat="1" ht="21" customHeight="1">
      <c r="A54" s="255"/>
      <c r="B54" s="259"/>
      <c r="C54" s="260"/>
      <c r="D54" s="255"/>
      <c r="E54" s="119" t="s">
        <v>11</v>
      </c>
      <c r="F54" s="47" t="s">
        <v>12</v>
      </c>
      <c r="G54" s="47" t="s">
        <v>13</v>
      </c>
      <c r="H54" s="255"/>
      <c r="I54" s="47" t="s">
        <v>14</v>
      </c>
      <c r="J54" s="47" t="s">
        <v>66</v>
      </c>
      <c r="K54" s="47" t="s">
        <v>15</v>
      </c>
      <c r="L54" s="47" t="s">
        <v>16</v>
      </c>
      <c r="M54" s="47" t="s">
        <v>17</v>
      </c>
      <c r="N54" s="47" t="s">
        <v>18</v>
      </c>
      <c r="O54" s="47" t="s">
        <v>19</v>
      </c>
      <c r="P54" s="47" t="s">
        <v>67</v>
      </c>
      <c r="Q54" s="47" t="s">
        <v>68</v>
      </c>
      <c r="R54" s="47" t="s">
        <v>20</v>
      </c>
      <c r="S54" s="47" t="s">
        <v>21</v>
      </c>
      <c r="T54" s="14"/>
      <c r="U54" s="28"/>
      <c r="V54" s="28"/>
      <c r="W54" s="28"/>
    </row>
    <row r="55" spans="1:23" s="1" customFormat="1" ht="11.25" customHeight="1">
      <c r="A55" s="99">
        <v>1</v>
      </c>
      <c r="B55" s="253">
        <v>2</v>
      </c>
      <c r="C55" s="253"/>
      <c r="D55" s="48">
        <v>3</v>
      </c>
      <c r="E55" s="120">
        <v>4</v>
      </c>
      <c r="F55" s="48">
        <v>5</v>
      </c>
      <c r="G55" s="48">
        <v>6</v>
      </c>
      <c r="H55" s="48">
        <v>7</v>
      </c>
      <c r="I55" s="48">
        <v>8</v>
      </c>
      <c r="J55" s="48">
        <v>9</v>
      </c>
      <c r="K55" s="48">
        <v>10</v>
      </c>
      <c r="L55" s="48">
        <v>11</v>
      </c>
      <c r="M55" s="48">
        <v>12</v>
      </c>
      <c r="N55" s="48">
        <v>13</v>
      </c>
      <c r="O55" s="48">
        <v>14</v>
      </c>
      <c r="P55" s="48">
        <v>15</v>
      </c>
      <c r="Q55" s="48">
        <v>16</v>
      </c>
      <c r="R55" s="48">
        <v>17</v>
      </c>
      <c r="S55" s="48">
        <v>18</v>
      </c>
      <c r="T55" s="15"/>
      <c r="U55" s="29"/>
      <c r="V55" s="29"/>
      <c r="W55" s="29"/>
    </row>
    <row r="56" spans="1:23" s="1" customFormat="1" ht="11.25" customHeight="1">
      <c r="A56" s="237" t="s">
        <v>22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9"/>
      <c r="T56" s="16"/>
      <c r="U56" s="30"/>
      <c r="V56" s="30"/>
      <c r="W56" s="30"/>
    </row>
    <row r="57" spans="1:23" s="1" customFormat="1" ht="22.5" customHeight="1">
      <c r="A57" s="184" t="s">
        <v>117</v>
      </c>
      <c r="B57" s="222" t="s">
        <v>119</v>
      </c>
      <c r="C57" s="223"/>
      <c r="D57" s="185" t="s">
        <v>118</v>
      </c>
      <c r="E57" s="186">
        <v>3.06</v>
      </c>
      <c r="F57" s="185">
        <v>3.52</v>
      </c>
      <c r="G57" s="185">
        <v>8.83</v>
      </c>
      <c r="H57" s="187">
        <f aca="true" t="shared" si="10" ref="H57:H62">E57*4+F57*9+G57*4</f>
        <v>79.24000000000001</v>
      </c>
      <c r="I57" s="185">
        <v>0.03</v>
      </c>
      <c r="J57" s="185">
        <v>0.12</v>
      </c>
      <c r="K57" s="185">
        <v>2.8</v>
      </c>
      <c r="L57" s="185">
        <v>2.87</v>
      </c>
      <c r="M57" s="185">
        <v>0.39</v>
      </c>
      <c r="N57" s="185">
        <v>33.1</v>
      </c>
      <c r="O57" s="185">
        <v>49.8</v>
      </c>
      <c r="P57" s="185">
        <v>0.18</v>
      </c>
      <c r="Q57" s="185">
        <v>0</v>
      </c>
      <c r="R57" s="185">
        <v>16.2</v>
      </c>
      <c r="S57" s="185">
        <v>0.76</v>
      </c>
      <c r="T57" s="16"/>
      <c r="U57" s="30"/>
      <c r="V57" s="30"/>
      <c r="W57" s="30"/>
    </row>
    <row r="58" spans="1:23" s="6" customFormat="1" ht="23.25" customHeight="1">
      <c r="A58" s="143">
        <v>71</v>
      </c>
      <c r="B58" s="224" t="s">
        <v>153</v>
      </c>
      <c r="C58" s="225"/>
      <c r="D58" s="73">
        <v>50</v>
      </c>
      <c r="E58" s="102">
        <f>0.5*D58/60</f>
        <v>0.4166666666666667</v>
      </c>
      <c r="F58" s="74">
        <f>0.03*D58/30</f>
        <v>0.05</v>
      </c>
      <c r="G58" s="74">
        <f>1.7*D58/60</f>
        <v>1.4166666666666667</v>
      </c>
      <c r="H58" s="102">
        <f t="shared" si="10"/>
        <v>7.783333333333333</v>
      </c>
      <c r="I58" s="75">
        <v>0.009</v>
      </c>
      <c r="J58" s="74">
        <v>0.01</v>
      </c>
      <c r="K58" s="76">
        <v>3</v>
      </c>
      <c r="L58" s="75">
        <v>0.003</v>
      </c>
      <c r="M58" s="73">
        <v>0.03</v>
      </c>
      <c r="N58" s="74">
        <v>6.9</v>
      </c>
      <c r="O58" s="74">
        <v>12.6</v>
      </c>
      <c r="P58" s="75">
        <v>0.064</v>
      </c>
      <c r="Q58" s="75">
        <v>0.001</v>
      </c>
      <c r="R58" s="74">
        <v>4.2</v>
      </c>
      <c r="S58" s="74">
        <v>0.18</v>
      </c>
      <c r="T58" s="40"/>
      <c r="U58" s="41"/>
      <c r="V58" s="41"/>
      <c r="W58" s="41"/>
    </row>
    <row r="59" spans="1:23" s="92" customFormat="1" ht="21.75" customHeight="1">
      <c r="A59" s="143">
        <v>268</v>
      </c>
      <c r="B59" s="231" t="s">
        <v>127</v>
      </c>
      <c r="C59" s="232"/>
      <c r="D59" s="101">
        <v>100</v>
      </c>
      <c r="E59" s="102">
        <f>14.8*D59/80</f>
        <v>18.5</v>
      </c>
      <c r="F59" s="102">
        <f>20.69*D59/80</f>
        <v>25.8625</v>
      </c>
      <c r="G59" s="102">
        <f>3.81*D59/80</f>
        <v>4.7625</v>
      </c>
      <c r="H59" s="102">
        <f t="shared" si="10"/>
        <v>325.81250000000006</v>
      </c>
      <c r="I59" s="103">
        <f>0.18*D59/80</f>
        <v>0.225</v>
      </c>
      <c r="J59" s="102">
        <f>0.12*D59/80</f>
        <v>0.15</v>
      </c>
      <c r="K59" s="102">
        <f>0.43*D59/80</f>
        <v>0.5375</v>
      </c>
      <c r="L59" s="103">
        <f>0.04*D59/80</f>
        <v>0.05</v>
      </c>
      <c r="M59" s="103">
        <f>0.01*D59/80</f>
        <v>0.0125</v>
      </c>
      <c r="N59" s="102">
        <f>48.45*D59/80</f>
        <v>60.5625</v>
      </c>
      <c r="O59" s="102">
        <f>177.9*D59/80</f>
        <v>222.375</v>
      </c>
      <c r="P59" s="103">
        <f>2.28*D59/80</f>
        <v>2.8499999999999996</v>
      </c>
      <c r="Q59" s="103">
        <f>0.04*D59/80</f>
        <v>0.05</v>
      </c>
      <c r="R59" s="102">
        <f>24.45*D59/80</f>
        <v>30.5625</v>
      </c>
      <c r="S59" s="102">
        <f>1.93*D59/80</f>
        <v>2.4125</v>
      </c>
      <c r="T59" s="40"/>
      <c r="U59" s="41"/>
      <c r="V59" s="41"/>
      <c r="W59" s="41"/>
    </row>
    <row r="60" spans="1:23" s="6" customFormat="1" ht="11.25" customHeight="1">
      <c r="A60" s="117">
        <v>304</v>
      </c>
      <c r="B60" s="233" t="s">
        <v>54</v>
      </c>
      <c r="C60" s="233"/>
      <c r="D60" s="5">
        <v>180</v>
      </c>
      <c r="E60" s="93">
        <f>3.7*D60/150</f>
        <v>4.44</v>
      </c>
      <c r="F60" s="9">
        <f>5.37*D60/150</f>
        <v>6.444</v>
      </c>
      <c r="G60" s="9">
        <f>36.68*D60/150</f>
        <v>44.016</v>
      </c>
      <c r="H60" s="9">
        <f t="shared" si="10"/>
        <v>251.82</v>
      </c>
      <c r="I60" s="9">
        <f>0.03*D60/150</f>
        <v>0.036</v>
      </c>
      <c r="J60" s="9">
        <f>0.02*D60/150</f>
        <v>0.024</v>
      </c>
      <c r="K60" s="3">
        <v>0</v>
      </c>
      <c r="L60" s="9">
        <f>0.04*D60/150</f>
        <v>0.048</v>
      </c>
      <c r="M60" s="3">
        <v>0</v>
      </c>
      <c r="N60" s="4">
        <f>14.94*D60/150</f>
        <v>17.927999999999997</v>
      </c>
      <c r="O60" s="4">
        <f>79.38*D60/150</f>
        <v>95.256</v>
      </c>
      <c r="P60" s="5">
        <v>0</v>
      </c>
      <c r="Q60" s="42">
        <f>0.001*D60/150</f>
        <v>0.0012</v>
      </c>
      <c r="R60" s="4">
        <f>27.89*D60/150</f>
        <v>33.467999999999996</v>
      </c>
      <c r="S60" s="9">
        <f>0.59*D60/150</f>
        <v>0.708</v>
      </c>
      <c r="T60" s="21"/>
      <c r="U60" s="32"/>
      <c r="V60" s="32"/>
      <c r="W60" s="32"/>
    </row>
    <row r="61" spans="1:23" s="6" customFormat="1" ht="11.25" customHeight="1">
      <c r="A61" s="117">
        <v>379</v>
      </c>
      <c r="B61" s="231" t="s">
        <v>58</v>
      </c>
      <c r="C61" s="232"/>
      <c r="D61" s="5">
        <v>200</v>
      </c>
      <c r="E61" s="93">
        <v>3.17</v>
      </c>
      <c r="F61" s="9">
        <v>2.68</v>
      </c>
      <c r="G61" s="9">
        <v>15.95</v>
      </c>
      <c r="H61" s="9">
        <f t="shared" si="10"/>
        <v>100.6</v>
      </c>
      <c r="I61" s="9">
        <v>0.04</v>
      </c>
      <c r="J61" s="9">
        <v>0.15</v>
      </c>
      <c r="K61" s="9">
        <v>1.3</v>
      </c>
      <c r="L61" s="12">
        <v>0.03</v>
      </c>
      <c r="M61" s="3">
        <v>0.06</v>
      </c>
      <c r="N61" s="9">
        <v>120.4</v>
      </c>
      <c r="O61" s="4">
        <v>90</v>
      </c>
      <c r="P61" s="9">
        <v>1.1</v>
      </c>
      <c r="Q61" s="12">
        <v>0.01</v>
      </c>
      <c r="R61" s="9">
        <v>14</v>
      </c>
      <c r="S61" s="9">
        <v>0.12</v>
      </c>
      <c r="T61" s="21"/>
      <c r="U61" s="32"/>
      <c r="V61" s="32"/>
      <c r="W61" s="32"/>
    </row>
    <row r="62" spans="1:23" s="6" customFormat="1" ht="11.25" customHeight="1">
      <c r="A62" s="99" t="s">
        <v>87</v>
      </c>
      <c r="B62" s="224" t="s">
        <v>60</v>
      </c>
      <c r="C62" s="225"/>
      <c r="D62" s="91">
        <v>40</v>
      </c>
      <c r="E62" s="93">
        <f>1.52*D62/30</f>
        <v>2.0266666666666664</v>
      </c>
      <c r="F62" s="94">
        <f>0.16*D62/30</f>
        <v>0.21333333333333335</v>
      </c>
      <c r="G62" s="94">
        <f>9.84*D62/30</f>
        <v>13.120000000000001</v>
      </c>
      <c r="H62" s="94">
        <f t="shared" si="10"/>
        <v>62.50666666666667</v>
      </c>
      <c r="I62" s="94">
        <f>0.02*D62/30</f>
        <v>0.02666666666666667</v>
      </c>
      <c r="J62" s="94">
        <f>0.01*D62/30</f>
        <v>0.013333333333333334</v>
      </c>
      <c r="K62" s="94">
        <f>0.44*D62/30</f>
        <v>0.5866666666666667</v>
      </c>
      <c r="L62" s="94">
        <v>0</v>
      </c>
      <c r="M62" s="94">
        <f>0.7*D62/30</f>
        <v>0.9333333333333333</v>
      </c>
      <c r="N62" s="94">
        <f>4*D62/30</f>
        <v>5.333333333333333</v>
      </c>
      <c r="O62" s="94">
        <f>13*D62/30</f>
        <v>17.333333333333332</v>
      </c>
      <c r="P62" s="94">
        <f>0.008*D62/30</f>
        <v>0.010666666666666666</v>
      </c>
      <c r="Q62" s="94">
        <f>0.001*D62/30</f>
        <v>0.0013333333333333333</v>
      </c>
      <c r="R62" s="94">
        <v>0</v>
      </c>
      <c r="S62" s="94">
        <f>0.22*D62/30</f>
        <v>0.29333333333333333</v>
      </c>
      <c r="T62" s="21"/>
      <c r="U62" s="32"/>
      <c r="V62" s="32"/>
      <c r="W62" s="32"/>
    </row>
    <row r="63" spans="1:23" s="6" customFormat="1" ht="12" customHeight="1">
      <c r="A63" s="155" t="s">
        <v>24</v>
      </c>
      <c r="B63" s="84"/>
      <c r="C63" s="84"/>
      <c r="D63" s="180">
        <f aca="true" t="shared" si="11" ref="D63:S63">SUM(D58:D62)</f>
        <v>570</v>
      </c>
      <c r="E63" s="50">
        <f t="shared" si="11"/>
        <v>28.553333333333338</v>
      </c>
      <c r="F63" s="49">
        <f t="shared" si="11"/>
        <v>35.249833333333335</v>
      </c>
      <c r="G63" s="49">
        <f t="shared" si="11"/>
        <v>79.26516666666667</v>
      </c>
      <c r="H63" s="49">
        <f t="shared" si="11"/>
        <v>748.5225000000002</v>
      </c>
      <c r="I63" s="50">
        <f t="shared" si="11"/>
        <v>0.33666666666666667</v>
      </c>
      <c r="J63" s="50">
        <f t="shared" si="11"/>
        <v>0.34733333333333327</v>
      </c>
      <c r="K63" s="50">
        <f t="shared" si="11"/>
        <v>5.424166666666667</v>
      </c>
      <c r="L63" s="50">
        <f t="shared" si="11"/>
        <v>0.131</v>
      </c>
      <c r="M63" s="50">
        <f t="shared" si="11"/>
        <v>1.0358333333333334</v>
      </c>
      <c r="N63" s="50">
        <f t="shared" si="11"/>
        <v>211.12383333333335</v>
      </c>
      <c r="O63" s="50">
        <f t="shared" si="11"/>
        <v>437.5643333333333</v>
      </c>
      <c r="P63" s="51">
        <f t="shared" si="11"/>
        <v>4.024666666666666</v>
      </c>
      <c r="Q63" s="51">
        <f t="shared" si="11"/>
        <v>0.06353333333333334</v>
      </c>
      <c r="R63" s="49">
        <f t="shared" si="11"/>
        <v>82.2305</v>
      </c>
      <c r="S63" s="50">
        <f t="shared" si="11"/>
        <v>3.713833333333334</v>
      </c>
      <c r="T63" s="49"/>
      <c r="U63" s="60"/>
      <c r="V63" s="60"/>
      <c r="W63" s="60"/>
    </row>
    <row r="64" spans="1:23" s="6" customFormat="1" ht="12" customHeight="1">
      <c r="A64" s="269" t="s">
        <v>73</v>
      </c>
      <c r="B64" s="270"/>
      <c r="C64" s="270"/>
      <c r="D64" s="271"/>
      <c r="E64" s="183">
        <f aca="true" t="shared" si="12" ref="E64:S64">E63/E83</f>
        <v>0.3172592592592593</v>
      </c>
      <c r="F64" s="188">
        <f t="shared" si="12"/>
        <v>0.3831503623188406</v>
      </c>
      <c r="G64" s="188">
        <f t="shared" si="12"/>
        <v>0.20695865970409053</v>
      </c>
      <c r="H64" s="188">
        <f t="shared" si="12"/>
        <v>0.2751920955882354</v>
      </c>
      <c r="I64" s="188">
        <f t="shared" si="12"/>
        <v>0.24047619047619048</v>
      </c>
      <c r="J64" s="188">
        <f t="shared" si="12"/>
        <v>0.2170833333333333</v>
      </c>
      <c r="K64" s="188">
        <f t="shared" si="12"/>
        <v>0.07748809523809524</v>
      </c>
      <c r="L64" s="188">
        <f t="shared" si="12"/>
        <v>0.14555555555555555</v>
      </c>
      <c r="M64" s="188">
        <f t="shared" si="12"/>
        <v>0.08631944444444445</v>
      </c>
      <c r="N64" s="188">
        <f t="shared" si="12"/>
        <v>0.1759365277777778</v>
      </c>
      <c r="O64" s="188">
        <f t="shared" si="12"/>
        <v>0.36463694444444444</v>
      </c>
      <c r="P64" s="188">
        <f t="shared" si="12"/>
        <v>0.2874761904761904</v>
      </c>
      <c r="Q64" s="188">
        <f t="shared" si="12"/>
        <v>0.6353333333333334</v>
      </c>
      <c r="R64" s="188">
        <f t="shared" si="12"/>
        <v>0.2741016666666667</v>
      </c>
      <c r="S64" s="188">
        <f t="shared" si="12"/>
        <v>0.2063240740740741</v>
      </c>
      <c r="T64" s="61"/>
      <c r="U64" s="60"/>
      <c r="V64" s="60"/>
      <c r="W64" s="60"/>
    </row>
    <row r="65" spans="1:23" s="92" customFormat="1" ht="12" customHeight="1">
      <c r="A65" s="154" t="s">
        <v>107</v>
      </c>
      <c r="B65" s="109"/>
      <c r="C65" s="109"/>
      <c r="D65" s="106"/>
      <c r="E65" s="181">
        <f>E57+E59+E60+E61+E62</f>
        <v>31.19666666666667</v>
      </c>
      <c r="F65" s="181">
        <f aca="true" t="shared" si="13" ref="F65:S65">F57+F59+F60+F61+F62</f>
        <v>38.719833333333334</v>
      </c>
      <c r="G65" s="181">
        <f t="shared" si="13"/>
        <v>86.6785</v>
      </c>
      <c r="H65" s="181">
        <f t="shared" si="13"/>
        <v>819.9791666666667</v>
      </c>
      <c r="I65" s="181">
        <f t="shared" si="13"/>
        <v>0.35766666666666663</v>
      </c>
      <c r="J65" s="181">
        <f t="shared" si="13"/>
        <v>0.45733333333333337</v>
      </c>
      <c r="K65" s="181">
        <f t="shared" si="13"/>
        <v>5.224166666666667</v>
      </c>
      <c r="L65" s="181">
        <f t="shared" si="13"/>
        <v>2.9979999999999998</v>
      </c>
      <c r="M65" s="181">
        <f t="shared" si="13"/>
        <v>1.3958333333333335</v>
      </c>
      <c r="N65" s="181">
        <f t="shared" si="13"/>
        <v>237.32383333333334</v>
      </c>
      <c r="O65" s="181">
        <f t="shared" si="13"/>
        <v>474.76433333333335</v>
      </c>
      <c r="P65" s="181">
        <f t="shared" si="13"/>
        <v>4.140666666666666</v>
      </c>
      <c r="Q65" s="181">
        <f t="shared" si="13"/>
        <v>0.06253333333333334</v>
      </c>
      <c r="R65" s="181">
        <f t="shared" si="13"/>
        <v>94.2305</v>
      </c>
      <c r="S65" s="181">
        <f t="shared" si="13"/>
        <v>4.293833333333334</v>
      </c>
      <c r="T65" s="61"/>
      <c r="U65" s="60"/>
      <c r="V65" s="60"/>
      <c r="W65" s="60"/>
    </row>
    <row r="66" spans="1:23" s="6" customFormat="1" ht="10.5" customHeight="1">
      <c r="A66" s="237" t="s">
        <v>27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9"/>
      <c r="T66" s="16"/>
      <c r="U66" s="30"/>
      <c r="V66" s="30"/>
      <c r="W66" s="30"/>
    </row>
    <row r="67" spans="1:23" s="92" customFormat="1" ht="13.5" customHeight="1">
      <c r="A67" s="99">
        <v>52</v>
      </c>
      <c r="B67" s="231" t="s">
        <v>61</v>
      </c>
      <c r="C67" s="232"/>
      <c r="D67" s="91">
        <v>100</v>
      </c>
      <c r="E67" s="93">
        <f>0.86*D67/60</f>
        <v>1.4333333333333333</v>
      </c>
      <c r="F67" s="93">
        <f>3.05*D67/60</f>
        <v>5.083333333333333</v>
      </c>
      <c r="G67" s="93">
        <f>5.13*D67/60</f>
        <v>8.55</v>
      </c>
      <c r="H67" s="93">
        <f aca="true" t="shared" si="14" ref="H67:H73">E67*4+F67*9+G67*4</f>
        <v>85.68333333333334</v>
      </c>
      <c r="I67" s="93">
        <f>0.01*D67/60</f>
        <v>0.016666666666666666</v>
      </c>
      <c r="J67" s="93">
        <f>0.02*D67/60</f>
        <v>0.03333333333333333</v>
      </c>
      <c r="K67" s="90">
        <f>5.7*D67/60</f>
        <v>9.5</v>
      </c>
      <c r="L67" s="93">
        <f>0.01*D67/60</f>
        <v>0.016666666666666666</v>
      </c>
      <c r="M67" s="93">
        <f>0.1*D67/60</f>
        <v>0.16666666666666666</v>
      </c>
      <c r="N67" s="93">
        <f>26.61*D67/60</f>
        <v>44.35</v>
      </c>
      <c r="O67" s="93">
        <f>25.64*D67/60</f>
        <v>42.733333333333334</v>
      </c>
      <c r="P67" s="93">
        <f>0.43*D67/60</f>
        <v>0.7166666666666667</v>
      </c>
      <c r="Q67" s="94">
        <f>0.01*D67/60</f>
        <v>0.016666666666666666</v>
      </c>
      <c r="R67" s="90">
        <f>12.87*D67/60</f>
        <v>21.45</v>
      </c>
      <c r="S67" s="93">
        <f>0.84*D67/60</f>
        <v>1.4</v>
      </c>
      <c r="T67" s="95"/>
      <c r="U67" s="96"/>
      <c r="V67" s="96"/>
      <c r="W67" s="96"/>
    </row>
    <row r="68" spans="1:23" s="92" customFormat="1" ht="22.5" customHeight="1">
      <c r="A68" s="99">
        <v>113</v>
      </c>
      <c r="B68" s="231" t="s">
        <v>63</v>
      </c>
      <c r="C68" s="232"/>
      <c r="D68" s="89" t="s">
        <v>143</v>
      </c>
      <c r="E68" s="93">
        <v>8.71</v>
      </c>
      <c r="F68" s="94">
        <v>8.77</v>
      </c>
      <c r="G68" s="94">
        <v>23.67</v>
      </c>
      <c r="H68" s="94">
        <f t="shared" si="14"/>
        <v>208.45</v>
      </c>
      <c r="I68" s="94">
        <v>0.23</v>
      </c>
      <c r="J68" s="94">
        <v>0.21</v>
      </c>
      <c r="K68" s="94">
        <v>5.302</v>
      </c>
      <c r="L68" s="94">
        <v>1.04</v>
      </c>
      <c r="M68" s="94">
        <v>0.379</v>
      </c>
      <c r="N68" s="94">
        <v>43.8</v>
      </c>
      <c r="O68" s="94">
        <v>95.75</v>
      </c>
      <c r="P68" s="94">
        <v>0.13</v>
      </c>
      <c r="Q68" s="94">
        <v>0.001</v>
      </c>
      <c r="R68" s="94">
        <v>18.3</v>
      </c>
      <c r="S68" s="94">
        <v>1.25</v>
      </c>
      <c r="T68" s="95"/>
      <c r="U68" s="96"/>
      <c r="V68" s="96"/>
      <c r="W68" s="96"/>
    </row>
    <row r="69" spans="1:23" s="6" customFormat="1" ht="12" customHeight="1">
      <c r="A69" s="99">
        <v>232</v>
      </c>
      <c r="B69" s="231" t="s">
        <v>80</v>
      </c>
      <c r="C69" s="232"/>
      <c r="D69" s="5">
        <v>100</v>
      </c>
      <c r="E69" s="93">
        <f>20.2*D69/100</f>
        <v>20.2</v>
      </c>
      <c r="F69" s="9">
        <f>12.07*D69/100</f>
        <v>12.07</v>
      </c>
      <c r="G69" s="9">
        <f>2.08*D69/100</f>
        <v>2.08</v>
      </c>
      <c r="H69" s="9">
        <f t="shared" si="14"/>
        <v>197.75</v>
      </c>
      <c r="I69" s="9">
        <f>0.2*D69/100</f>
        <v>0.2</v>
      </c>
      <c r="J69" s="9">
        <f>0.17*D69/100</f>
        <v>0.17</v>
      </c>
      <c r="K69" s="9">
        <f>2.63*D69/100</f>
        <v>2.63</v>
      </c>
      <c r="L69" s="94">
        <f>D69*0.025/80</f>
        <v>0.03125</v>
      </c>
      <c r="M69" s="93">
        <v>0.3</v>
      </c>
      <c r="N69" s="9">
        <f>D69*68.89/80</f>
        <v>86.1125</v>
      </c>
      <c r="O69" s="9">
        <f>D69*33.41/80</f>
        <v>41.762499999999996</v>
      </c>
      <c r="P69" s="4">
        <v>0.8</v>
      </c>
      <c r="Q69" s="4">
        <v>0.04</v>
      </c>
      <c r="R69" s="9">
        <f>D69*23.17/80</f>
        <v>28.9625</v>
      </c>
      <c r="S69" s="9">
        <f>D69*0.73/80</f>
        <v>0.9125</v>
      </c>
      <c r="T69" s="21"/>
      <c r="U69" s="32"/>
      <c r="V69" s="32"/>
      <c r="W69" s="32"/>
    </row>
    <row r="70" spans="1:23" s="6" customFormat="1" ht="12" customHeight="1">
      <c r="A70" s="99">
        <v>312</v>
      </c>
      <c r="B70" s="231" t="s">
        <v>48</v>
      </c>
      <c r="C70" s="232"/>
      <c r="D70" s="91">
        <v>180</v>
      </c>
      <c r="E70" s="93">
        <f>D70*3.29/150</f>
        <v>3.9480000000000004</v>
      </c>
      <c r="F70" s="93">
        <f>D70*7.06/150</f>
        <v>8.472</v>
      </c>
      <c r="G70" s="93">
        <f>D70*22.21/150</f>
        <v>26.652</v>
      </c>
      <c r="H70" s="93">
        <f t="shared" si="14"/>
        <v>198.648</v>
      </c>
      <c r="I70" s="93">
        <f>D70*0.16/150</f>
        <v>0.192</v>
      </c>
      <c r="J70" s="93">
        <f>D70*0.13/150</f>
        <v>0.15600000000000003</v>
      </c>
      <c r="K70" s="93">
        <f>D70*0.73/150</f>
        <v>0.876</v>
      </c>
      <c r="L70" s="94">
        <f>D70*0.08/150</f>
        <v>0.096</v>
      </c>
      <c r="M70" s="89">
        <f>1.5*D70/150</f>
        <v>1.8</v>
      </c>
      <c r="N70" s="93">
        <f>D70*42.54/150</f>
        <v>51.048</v>
      </c>
      <c r="O70" s="90">
        <f>D70*97.75/150</f>
        <v>117.3</v>
      </c>
      <c r="P70" s="94">
        <f>0.299*D70/150</f>
        <v>0.3588</v>
      </c>
      <c r="Q70" s="94">
        <f>0.001*D70/150</f>
        <v>0.0012</v>
      </c>
      <c r="R70" s="93">
        <f>D70*33.06/150</f>
        <v>39.672000000000004</v>
      </c>
      <c r="S70" s="93">
        <f>D70*1.19/150</f>
        <v>1.428</v>
      </c>
      <c r="T70" s="21"/>
      <c r="U70" s="32"/>
      <c r="V70" s="32"/>
      <c r="W70" s="32"/>
    </row>
    <row r="71" spans="1:23" s="6" customFormat="1" ht="21.75" customHeight="1">
      <c r="A71" s="99">
        <v>349</v>
      </c>
      <c r="B71" s="231" t="s">
        <v>51</v>
      </c>
      <c r="C71" s="232"/>
      <c r="D71" s="91">
        <v>200</v>
      </c>
      <c r="E71" s="93">
        <v>0.22</v>
      </c>
      <c r="F71" s="89"/>
      <c r="G71" s="93">
        <v>24.42</v>
      </c>
      <c r="H71" s="93">
        <f t="shared" si="14"/>
        <v>98.56</v>
      </c>
      <c r="I71" s="89"/>
      <c r="J71" s="89"/>
      <c r="K71" s="93">
        <v>26.11</v>
      </c>
      <c r="L71" s="89"/>
      <c r="M71" s="89"/>
      <c r="N71" s="90">
        <v>22.6</v>
      </c>
      <c r="O71" s="90">
        <v>7.7</v>
      </c>
      <c r="P71" s="91">
        <v>0</v>
      </c>
      <c r="Q71" s="91">
        <v>0</v>
      </c>
      <c r="R71" s="90">
        <v>3</v>
      </c>
      <c r="S71" s="93">
        <v>0.66</v>
      </c>
      <c r="T71" s="21"/>
      <c r="U71" s="32"/>
      <c r="V71" s="32"/>
      <c r="W71" s="32"/>
    </row>
    <row r="72" spans="1:23" s="6" customFormat="1" ht="11.25" customHeight="1">
      <c r="A72" s="99" t="s">
        <v>87</v>
      </c>
      <c r="B72" s="231" t="s">
        <v>47</v>
      </c>
      <c r="C72" s="232"/>
      <c r="D72" s="91">
        <v>40</v>
      </c>
      <c r="E72" s="93">
        <f>2.64*D72/40</f>
        <v>2.64</v>
      </c>
      <c r="F72" s="93">
        <f>0.48*D72/40</f>
        <v>0.48</v>
      </c>
      <c r="G72" s="93">
        <f>13.68*D72/40</f>
        <v>13.680000000000001</v>
      </c>
      <c r="H72" s="90">
        <f t="shared" si="14"/>
        <v>69.60000000000001</v>
      </c>
      <c r="I72" s="89">
        <f>0.08*D72/40</f>
        <v>0.08</v>
      </c>
      <c r="J72" s="93">
        <f>0.04*D72/40</f>
        <v>0.04</v>
      </c>
      <c r="K72" s="91">
        <v>0</v>
      </c>
      <c r="L72" s="91">
        <v>0</v>
      </c>
      <c r="M72" s="93">
        <f>2.4*D72/100</f>
        <v>0.96</v>
      </c>
      <c r="N72" s="93">
        <f>14*D72/40</f>
        <v>14</v>
      </c>
      <c r="O72" s="93">
        <f>63.2*D72/40</f>
        <v>63.2</v>
      </c>
      <c r="P72" s="93">
        <f>1.2*D72/40</f>
        <v>1.2</v>
      </c>
      <c r="Q72" s="94">
        <f>0.001*D72/40</f>
        <v>0.001</v>
      </c>
      <c r="R72" s="93">
        <f>9.4*D72/40</f>
        <v>9.4</v>
      </c>
      <c r="S72" s="89">
        <f>0.78*D72/40</f>
        <v>0.78</v>
      </c>
      <c r="T72" s="38"/>
      <c r="U72" s="39"/>
      <c r="V72" s="39"/>
      <c r="W72" s="39"/>
    </row>
    <row r="73" spans="1:23" s="6" customFormat="1" ht="11.25" customHeight="1">
      <c r="A73" s="99" t="s">
        <v>87</v>
      </c>
      <c r="B73" s="231" t="s">
        <v>60</v>
      </c>
      <c r="C73" s="232"/>
      <c r="D73" s="91">
        <v>40</v>
      </c>
      <c r="E73" s="93">
        <f>1.52*D73/30</f>
        <v>2.0266666666666664</v>
      </c>
      <c r="F73" s="94">
        <f>0.16*D73/30</f>
        <v>0.21333333333333335</v>
      </c>
      <c r="G73" s="94">
        <f>9.84*D73/30</f>
        <v>13.120000000000001</v>
      </c>
      <c r="H73" s="94">
        <f t="shared" si="14"/>
        <v>62.50666666666667</v>
      </c>
      <c r="I73" s="94">
        <f>0.02*D73/30</f>
        <v>0.02666666666666667</v>
      </c>
      <c r="J73" s="94">
        <f>0.01*D73/30</f>
        <v>0.013333333333333334</v>
      </c>
      <c r="K73" s="94">
        <f>0.44*D73/30</f>
        <v>0.5866666666666667</v>
      </c>
      <c r="L73" s="94">
        <v>0</v>
      </c>
      <c r="M73" s="94">
        <f>0.7*D73/30</f>
        <v>0.9333333333333333</v>
      </c>
      <c r="N73" s="94">
        <f>4*D73/30</f>
        <v>5.333333333333333</v>
      </c>
      <c r="O73" s="94">
        <f>13*D73/30</f>
        <v>17.333333333333332</v>
      </c>
      <c r="P73" s="94">
        <f>0.008*D73/30</f>
        <v>0.010666666666666666</v>
      </c>
      <c r="Q73" s="94">
        <f>0.001*D73/30</f>
        <v>0.0013333333333333333</v>
      </c>
      <c r="R73" s="94">
        <v>0</v>
      </c>
      <c r="S73" s="94">
        <f>0.22*D73/30</f>
        <v>0.29333333333333333</v>
      </c>
      <c r="T73" s="21"/>
      <c r="U73" s="32"/>
      <c r="V73" s="32"/>
      <c r="W73" s="32"/>
    </row>
    <row r="74" spans="1:23" s="6" customFormat="1" ht="11.25" customHeight="1">
      <c r="A74" s="155" t="s">
        <v>28</v>
      </c>
      <c r="B74" s="84"/>
      <c r="C74" s="84"/>
      <c r="D74" s="180">
        <v>925</v>
      </c>
      <c r="E74" s="50">
        <f>SUM(E67:E73)</f>
        <v>39.178</v>
      </c>
      <c r="F74" s="49">
        <f>SUM(F67:F73)</f>
        <v>35.08866666666666</v>
      </c>
      <c r="G74" s="49">
        <f>SUM(G67:G73)</f>
        <v>112.17200000000001</v>
      </c>
      <c r="H74" s="49">
        <f>SUM(H67:H73)</f>
        <v>921.198</v>
      </c>
      <c r="I74" s="50">
        <f aca="true" t="shared" si="15" ref="I74:S74">SUM(I67:I73)</f>
        <v>0.7453333333333333</v>
      </c>
      <c r="J74" s="50">
        <f t="shared" si="15"/>
        <v>0.6226666666666667</v>
      </c>
      <c r="K74" s="50">
        <f t="shared" si="15"/>
        <v>45.004666666666665</v>
      </c>
      <c r="L74" s="50">
        <f t="shared" si="15"/>
        <v>1.1839166666666667</v>
      </c>
      <c r="M74" s="50">
        <f t="shared" si="15"/>
        <v>4.539</v>
      </c>
      <c r="N74" s="50">
        <f t="shared" si="15"/>
        <v>267.24383333333327</v>
      </c>
      <c r="O74" s="50">
        <f t="shared" si="15"/>
        <v>385.77916666666664</v>
      </c>
      <c r="P74" s="50">
        <f t="shared" si="15"/>
        <v>3.216133333333334</v>
      </c>
      <c r="Q74" s="51">
        <f t="shared" si="15"/>
        <v>0.061200000000000004</v>
      </c>
      <c r="R74" s="50">
        <f t="shared" si="15"/>
        <v>120.78450000000001</v>
      </c>
      <c r="S74" s="50">
        <f t="shared" si="15"/>
        <v>6.723833333333333</v>
      </c>
      <c r="T74" s="49"/>
      <c r="U74" s="60"/>
      <c r="V74" s="60"/>
      <c r="W74" s="60"/>
    </row>
    <row r="75" spans="1:23" s="6" customFormat="1" ht="11.25" customHeight="1">
      <c r="A75" s="269" t="s">
        <v>73</v>
      </c>
      <c r="B75" s="270"/>
      <c r="C75" s="270"/>
      <c r="D75" s="271"/>
      <c r="E75" s="183">
        <f>E74/E83</f>
        <v>0.4353111111111111</v>
      </c>
      <c r="F75" s="173">
        <f aca="true" t="shared" si="16" ref="F75:S75">F74/F83</f>
        <v>0.38139855072463763</v>
      </c>
      <c r="G75" s="173">
        <f t="shared" si="16"/>
        <v>0.29287728459530027</v>
      </c>
      <c r="H75" s="173">
        <f t="shared" si="16"/>
        <v>0.33867573529411765</v>
      </c>
      <c r="I75" s="173">
        <f t="shared" si="16"/>
        <v>0.5323809523809524</v>
      </c>
      <c r="J75" s="173">
        <f t="shared" si="16"/>
        <v>0.38916666666666666</v>
      </c>
      <c r="K75" s="173">
        <f t="shared" si="16"/>
        <v>0.6429238095238095</v>
      </c>
      <c r="L75" s="173">
        <f t="shared" si="16"/>
        <v>1.315462962962963</v>
      </c>
      <c r="M75" s="173">
        <f t="shared" si="16"/>
        <v>0.37825</v>
      </c>
      <c r="N75" s="173">
        <f t="shared" si="16"/>
        <v>0.2227031944444444</v>
      </c>
      <c r="O75" s="173">
        <f t="shared" si="16"/>
        <v>0.3214826388888889</v>
      </c>
      <c r="P75" s="173">
        <f t="shared" si="16"/>
        <v>0.22972380952380958</v>
      </c>
      <c r="Q75" s="173">
        <f t="shared" si="16"/>
        <v>0.612</v>
      </c>
      <c r="R75" s="173">
        <f t="shared" si="16"/>
        <v>0.402615</v>
      </c>
      <c r="S75" s="173">
        <f t="shared" si="16"/>
        <v>0.3735462962962963</v>
      </c>
      <c r="T75" s="61"/>
      <c r="U75" s="60"/>
      <c r="V75" s="60"/>
      <c r="W75" s="60"/>
    </row>
    <row r="76" spans="1:23" s="6" customFormat="1" ht="11.25" customHeight="1">
      <c r="A76" s="237" t="s">
        <v>29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9"/>
      <c r="T76" s="16"/>
      <c r="U76" s="30"/>
      <c r="V76" s="30"/>
      <c r="W76" s="30"/>
    </row>
    <row r="77" spans="1:23" s="92" customFormat="1" ht="11.25" customHeight="1">
      <c r="A77" s="117">
        <v>338</v>
      </c>
      <c r="B77" s="224" t="s">
        <v>156</v>
      </c>
      <c r="C77" s="225"/>
      <c r="D77" s="80">
        <v>100</v>
      </c>
      <c r="E77" s="77">
        <v>0.9</v>
      </c>
      <c r="F77" s="112">
        <v>0.2</v>
      </c>
      <c r="G77" s="78">
        <v>8.1</v>
      </c>
      <c r="H77" s="77">
        <f>E77*4+F77*9+G77*4</f>
        <v>37.8</v>
      </c>
      <c r="I77" s="77">
        <v>0.04</v>
      </c>
      <c r="J77" s="77">
        <v>0.03</v>
      </c>
      <c r="K77" s="77">
        <v>60</v>
      </c>
      <c r="L77" s="77">
        <v>0.008</v>
      </c>
      <c r="M77" s="112">
        <v>0.2</v>
      </c>
      <c r="N77" s="77">
        <v>34</v>
      </c>
      <c r="O77" s="77">
        <v>23</v>
      </c>
      <c r="P77" s="79">
        <v>0.2</v>
      </c>
      <c r="Q77" s="77">
        <v>0.002</v>
      </c>
      <c r="R77" s="77">
        <v>15</v>
      </c>
      <c r="S77" s="77">
        <v>0.3</v>
      </c>
      <c r="T77" s="16"/>
      <c r="U77" s="30"/>
      <c r="V77" s="30"/>
      <c r="W77" s="30"/>
    </row>
    <row r="78" spans="1:23" s="6" customFormat="1" ht="11.25" customHeight="1">
      <c r="A78" s="149" t="s">
        <v>87</v>
      </c>
      <c r="B78" s="233" t="s">
        <v>167</v>
      </c>
      <c r="C78" s="233"/>
      <c r="D78" s="91">
        <v>65</v>
      </c>
      <c r="E78" s="93">
        <v>4.76</v>
      </c>
      <c r="F78" s="93">
        <v>3.39</v>
      </c>
      <c r="G78" s="93">
        <v>30.27</v>
      </c>
      <c r="H78" s="93">
        <f>E78*4+F78*9+G78*4</f>
        <v>170.63</v>
      </c>
      <c r="I78" s="93">
        <v>0.08</v>
      </c>
      <c r="J78" s="93">
        <v>0.27</v>
      </c>
      <c r="K78" s="93">
        <v>0.01</v>
      </c>
      <c r="L78" s="93">
        <v>0.15</v>
      </c>
      <c r="M78" s="93">
        <v>0.84</v>
      </c>
      <c r="N78" s="93">
        <v>14.71</v>
      </c>
      <c r="O78" s="93">
        <v>73.7</v>
      </c>
      <c r="P78" s="93">
        <v>1.43</v>
      </c>
      <c r="Q78" s="93">
        <v>0.01</v>
      </c>
      <c r="R78" s="93">
        <v>11.4</v>
      </c>
      <c r="S78" s="93">
        <v>0.6</v>
      </c>
      <c r="T78" s="21"/>
      <c r="U78" s="32"/>
      <c r="V78" s="32"/>
      <c r="W78" s="32"/>
    </row>
    <row r="79" spans="1:23" s="6" customFormat="1" ht="12" customHeight="1">
      <c r="A79" s="117">
        <v>389</v>
      </c>
      <c r="B79" s="224" t="s">
        <v>125</v>
      </c>
      <c r="C79" s="225"/>
      <c r="D79" s="91">
        <v>200</v>
      </c>
      <c r="E79" s="93">
        <v>1</v>
      </c>
      <c r="F79" s="93">
        <v>0.2</v>
      </c>
      <c r="G79" s="93">
        <v>20.2</v>
      </c>
      <c r="H79" s="93">
        <f>E79*4+F79*9+G79*4</f>
        <v>86.6</v>
      </c>
      <c r="I79" s="89">
        <v>0.02</v>
      </c>
      <c r="J79" s="89">
        <v>0.02</v>
      </c>
      <c r="K79" s="90">
        <v>4.8</v>
      </c>
      <c r="L79" s="89">
        <v>0</v>
      </c>
      <c r="M79" s="89">
        <v>0</v>
      </c>
      <c r="N79" s="90">
        <v>14</v>
      </c>
      <c r="O79" s="90">
        <v>18</v>
      </c>
      <c r="P79" s="90">
        <v>0.03</v>
      </c>
      <c r="Q79" s="90">
        <v>0</v>
      </c>
      <c r="R79" s="90">
        <v>8</v>
      </c>
      <c r="S79" s="93">
        <v>0.72</v>
      </c>
      <c r="T79" s="21"/>
      <c r="U79" s="32"/>
      <c r="V79" s="32"/>
      <c r="W79" s="32"/>
    </row>
    <row r="80" spans="1:23" s="1" customFormat="1" ht="11.25" customHeight="1">
      <c r="A80" s="155" t="s">
        <v>30</v>
      </c>
      <c r="B80" s="84"/>
      <c r="C80" s="84"/>
      <c r="D80" s="189">
        <f>SUM(D77:D79)</f>
        <v>365</v>
      </c>
      <c r="E80" s="50">
        <f>SUM(E77:E79)</f>
        <v>6.66</v>
      </c>
      <c r="F80" s="49">
        <f aca="true" t="shared" si="17" ref="F80:S80">SUM(F77:F79)</f>
        <v>3.7900000000000005</v>
      </c>
      <c r="G80" s="49">
        <f t="shared" si="17"/>
        <v>58.56999999999999</v>
      </c>
      <c r="H80" s="49">
        <f t="shared" si="17"/>
        <v>295.03</v>
      </c>
      <c r="I80" s="49">
        <f t="shared" si="17"/>
        <v>0.13999999999999999</v>
      </c>
      <c r="J80" s="49">
        <f t="shared" si="17"/>
        <v>0.32000000000000006</v>
      </c>
      <c r="K80" s="49">
        <f t="shared" si="17"/>
        <v>64.81</v>
      </c>
      <c r="L80" s="49">
        <f t="shared" si="17"/>
        <v>0.158</v>
      </c>
      <c r="M80" s="49">
        <f t="shared" si="17"/>
        <v>1.04</v>
      </c>
      <c r="N80" s="49">
        <f t="shared" si="17"/>
        <v>62.71</v>
      </c>
      <c r="O80" s="49">
        <f t="shared" si="17"/>
        <v>114.7</v>
      </c>
      <c r="P80" s="49">
        <f t="shared" si="17"/>
        <v>1.66</v>
      </c>
      <c r="Q80" s="49">
        <f t="shared" si="17"/>
        <v>0.012</v>
      </c>
      <c r="R80" s="49">
        <f t="shared" si="17"/>
        <v>34.4</v>
      </c>
      <c r="S80" s="49">
        <f t="shared" si="17"/>
        <v>1.6199999999999999</v>
      </c>
      <c r="T80" s="49"/>
      <c r="U80" s="60"/>
      <c r="V80" s="60"/>
      <c r="W80" s="60"/>
    </row>
    <row r="81" spans="1:23" s="1" customFormat="1" ht="11.25" customHeight="1">
      <c r="A81" s="269" t="s">
        <v>73</v>
      </c>
      <c r="B81" s="270"/>
      <c r="C81" s="270"/>
      <c r="D81" s="271"/>
      <c r="E81" s="172">
        <f>E80/E83</f>
        <v>0.074</v>
      </c>
      <c r="F81" s="173">
        <f aca="true" t="shared" si="18" ref="F81:S81">F80/F83</f>
        <v>0.04119565217391305</v>
      </c>
      <c r="G81" s="173">
        <f t="shared" si="18"/>
        <v>0.1529242819843342</v>
      </c>
      <c r="H81" s="173">
        <f t="shared" si="18"/>
        <v>0.10846691176470587</v>
      </c>
      <c r="I81" s="173">
        <f t="shared" si="18"/>
        <v>0.09999999999999999</v>
      </c>
      <c r="J81" s="173">
        <f t="shared" si="18"/>
        <v>0.20000000000000004</v>
      </c>
      <c r="K81" s="173">
        <f t="shared" si="18"/>
        <v>0.9258571428571429</v>
      </c>
      <c r="L81" s="173">
        <f t="shared" si="18"/>
        <v>0.17555555555555555</v>
      </c>
      <c r="M81" s="173">
        <f t="shared" si="18"/>
        <v>0.08666666666666667</v>
      </c>
      <c r="N81" s="173">
        <f t="shared" si="18"/>
        <v>0.05225833333333334</v>
      </c>
      <c r="O81" s="173">
        <f t="shared" si="18"/>
        <v>0.09558333333333334</v>
      </c>
      <c r="P81" s="173">
        <f t="shared" si="18"/>
        <v>0.11857142857142856</v>
      </c>
      <c r="Q81" s="173">
        <f t="shared" si="18"/>
        <v>0.12</v>
      </c>
      <c r="R81" s="173">
        <f t="shared" si="18"/>
        <v>0.11466666666666667</v>
      </c>
      <c r="S81" s="173">
        <f t="shared" si="18"/>
        <v>0.09</v>
      </c>
      <c r="T81" s="82"/>
      <c r="U81" s="60"/>
      <c r="V81" s="60"/>
      <c r="W81" s="60"/>
    </row>
    <row r="82" spans="1:23" s="1" customFormat="1" ht="11.25" customHeight="1">
      <c r="A82" s="246" t="s">
        <v>72</v>
      </c>
      <c r="B82" s="247"/>
      <c r="C82" s="247"/>
      <c r="D82" s="248"/>
      <c r="E82" s="50">
        <f aca="true" t="shared" si="19" ref="E82:S82">SUM(E63,E74,E80)</f>
        <v>74.39133333333334</v>
      </c>
      <c r="F82" s="49">
        <f t="shared" si="19"/>
        <v>74.1285</v>
      </c>
      <c r="G82" s="49">
        <f t="shared" si="19"/>
        <v>250.00716666666668</v>
      </c>
      <c r="H82" s="49">
        <f t="shared" si="19"/>
        <v>1964.7505</v>
      </c>
      <c r="I82" s="50">
        <f t="shared" si="19"/>
        <v>1.2219999999999998</v>
      </c>
      <c r="J82" s="50">
        <f t="shared" si="19"/>
        <v>1.29</v>
      </c>
      <c r="K82" s="62">
        <f t="shared" si="19"/>
        <v>115.23883333333333</v>
      </c>
      <c r="L82" s="50">
        <f t="shared" si="19"/>
        <v>1.4729166666666667</v>
      </c>
      <c r="M82" s="62">
        <f t="shared" si="19"/>
        <v>6.614833333333333</v>
      </c>
      <c r="N82" s="49">
        <f t="shared" si="19"/>
        <v>541.0776666666667</v>
      </c>
      <c r="O82" s="50">
        <f t="shared" si="19"/>
        <v>938.0435</v>
      </c>
      <c r="P82" s="49">
        <f t="shared" si="19"/>
        <v>8.9008</v>
      </c>
      <c r="Q82" s="51">
        <f t="shared" si="19"/>
        <v>0.13673333333333335</v>
      </c>
      <c r="R82" s="50">
        <f t="shared" si="19"/>
        <v>237.41500000000002</v>
      </c>
      <c r="S82" s="50">
        <f t="shared" si="19"/>
        <v>12.057666666666666</v>
      </c>
      <c r="T82" s="63"/>
      <c r="U82" s="52"/>
      <c r="V82" s="52"/>
      <c r="W82" s="52"/>
    </row>
    <row r="83" spans="1:23" s="1" customFormat="1" ht="11.25" customHeight="1">
      <c r="A83" s="246" t="s">
        <v>74</v>
      </c>
      <c r="B83" s="247"/>
      <c r="C83" s="247"/>
      <c r="D83" s="248"/>
      <c r="E83" s="93">
        <v>90</v>
      </c>
      <c r="F83" s="90">
        <v>92</v>
      </c>
      <c r="G83" s="90">
        <v>383</v>
      </c>
      <c r="H83" s="90">
        <v>2720</v>
      </c>
      <c r="I83" s="93">
        <v>1.4</v>
      </c>
      <c r="J83" s="93">
        <v>1.6</v>
      </c>
      <c r="K83" s="91">
        <v>70</v>
      </c>
      <c r="L83" s="93">
        <v>0.9</v>
      </c>
      <c r="M83" s="91">
        <v>12</v>
      </c>
      <c r="N83" s="91">
        <v>1200</v>
      </c>
      <c r="O83" s="91">
        <v>1200</v>
      </c>
      <c r="P83" s="91">
        <v>14</v>
      </c>
      <c r="Q83" s="90">
        <v>0.1</v>
      </c>
      <c r="R83" s="91">
        <v>300</v>
      </c>
      <c r="S83" s="93">
        <v>18</v>
      </c>
      <c r="T83" s="21"/>
      <c r="U83" s="32"/>
      <c r="V83" s="32"/>
      <c r="W83" s="32"/>
    </row>
    <row r="84" spans="1:23" s="13" customFormat="1" ht="11.25" customHeight="1">
      <c r="A84" s="228" t="s">
        <v>73</v>
      </c>
      <c r="B84" s="229"/>
      <c r="C84" s="229"/>
      <c r="D84" s="230"/>
      <c r="E84" s="98">
        <f aca="true" t="shared" si="20" ref="E84:S84">E82/E83</f>
        <v>0.8265703703703704</v>
      </c>
      <c r="F84" s="55">
        <f t="shared" si="20"/>
        <v>0.8057445652173914</v>
      </c>
      <c r="G84" s="55">
        <f t="shared" si="20"/>
        <v>0.652760226283725</v>
      </c>
      <c r="H84" s="55">
        <f t="shared" si="20"/>
        <v>0.7223347426470589</v>
      </c>
      <c r="I84" s="55">
        <f t="shared" si="20"/>
        <v>0.8728571428571428</v>
      </c>
      <c r="J84" s="55">
        <f t="shared" si="20"/>
        <v>0.80625</v>
      </c>
      <c r="K84" s="55">
        <f t="shared" si="20"/>
        <v>1.6462690476190476</v>
      </c>
      <c r="L84" s="57">
        <f t="shared" si="20"/>
        <v>1.636574074074074</v>
      </c>
      <c r="M84" s="57">
        <f t="shared" si="20"/>
        <v>0.5512361111111111</v>
      </c>
      <c r="N84" s="55">
        <f t="shared" si="20"/>
        <v>0.45089805555555557</v>
      </c>
      <c r="O84" s="55">
        <f t="shared" si="20"/>
        <v>0.7817029166666667</v>
      </c>
      <c r="P84" s="55">
        <f t="shared" si="20"/>
        <v>0.6357714285714285</v>
      </c>
      <c r="Q84" s="57">
        <f t="shared" si="20"/>
        <v>1.3673333333333333</v>
      </c>
      <c r="R84" s="55">
        <f t="shared" si="20"/>
        <v>0.7913833333333334</v>
      </c>
      <c r="S84" s="55">
        <f t="shared" si="20"/>
        <v>0.6698703703703703</v>
      </c>
      <c r="T84" s="64"/>
      <c r="U84" s="65"/>
      <c r="V84" s="65"/>
      <c r="W84" s="65"/>
    </row>
    <row r="85" spans="1:23" s="1" customFormat="1" ht="11.25" customHeight="1">
      <c r="A85" s="152" t="s">
        <v>124</v>
      </c>
      <c r="B85" s="70"/>
      <c r="C85" s="111"/>
      <c r="D85" s="111"/>
      <c r="E85" s="121"/>
      <c r="F85" s="92"/>
      <c r="G85" s="2"/>
      <c r="H85" s="2"/>
      <c r="I85" s="92"/>
      <c r="J85" s="6"/>
      <c r="K85" s="6"/>
      <c r="L85" s="244"/>
      <c r="M85" s="244"/>
      <c r="N85" s="244"/>
      <c r="O85" s="244"/>
      <c r="P85" s="244"/>
      <c r="Q85" s="244"/>
      <c r="R85" s="244"/>
      <c r="S85" s="244"/>
      <c r="T85" s="17"/>
      <c r="U85" s="25"/>
      <c r="V85" s="25"/>
      <c r="W85" s="25"/>
    </row>
    <row r="86" spans="1:23" s="1" customFormat="1" ht="11.25" customHeight="1">
      <c r="A86" s="152"/>
      <c r="B86" s="134" t="s">
        <v>159</v>
      </c>
      <c r="C86" s="134"/>
      <c r="D86" s="135"/>
      <c r="E86" s="135"/>
      <c r="F86" s="136"/>
      <c r="G86" s="137"/>
      <c r="H86" s="138"/>
      <c r="I86" s="92"/>
      <c r="J86" s="92"/>
      <c r="K86" s="92"/>
      <c r="L86" s="110"/>
      <c r="M86" s="110"/>
      <c r="N86" s="110"/>
      <c r="O86" s="110"/>
      <c r="P86" s="110"/>
      <c r="Q86" s="110"/>
      <c r="R86" s="110"/>
      <c r="S86" s="110"/>
      <c r="T86" s="17"/>
      <c r="U86" s="25"/>
      <c r="V86" s="25"/>
      <c r="W86" s="25"/>
    </row>
    <row r="87" spans="1:26" s="1" customFormat="1" ht="11.25" customHeight="1">
      <c r="A87" s="152"/>
      <c r="B87" s="70"/>
      <c r="C87" s="131"/>
      <c r="D87" s="131"/>
      <c r="E87" s="121"/>
      <c r="F87" s="92"/>
      <c r="G87" s="2"/>
      <c r="H87" s="2"/>
      <c r="I87" s="92"/>
      <c r="J87" s="92"/>
      <c r="K87" s="92"/>
      <c r="L87" s="132"/>
      <c r="M87" s="132"/>
      <c r="N87" s="132"/>
      <c r="O87" s="132"/>
      <c r="P87" s="132"/>
      <c r="Q87" s="132"/>
      <c r="R87" s="147" t="s">
        <v>86</v>
      </c>
      <c r="S87" s="244" t="s">
        <v>86</v>
      </c>
      <c r="T87" s="244"/>
      <c r="U87" s="244"/>
      <c r="V87" s="244"/>
      <c r="W87" s="244"/>
      <c r="X87" s="244"/>
      <c r="Y87" s="244"/>
      <c r="Z87" s="244"/>
    </row>
    <row r="88" spans="1:23" s="1" customFormat="1" ht="11.25" customHeight="1">
      <c r="A88" s="256" t="s">
        <v>33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18"/>
      <c r="U88" s="31"/>
      <c r="V88" s="31"/>
      <c r="W88" s="31"/>
    </row>
    <row r="89" spans="1:23" s="1" customFormat="1" ht="11.25" customHeight="1">
      <c r="A89" s="151" t="s">
        <v>65</v>
      </c>
      <c r="B89" s="70"/>
      <c r="C89" s="70"/>
      <c r="D89" s="2"/>
      <c r="E89" s="44"/>
      <c r="F89" s="243" t="s">
        <v>34</v>
      </c>
      <c r="G89" s="243"/>
      <c r="H89" s="243"/>
      <c r="I89" s="6"/>
      <c r="J89" s="6"/>
      <c r="K89" s="252" t="s">
        <v>1</v>
      </c>
      <c r="L89" s="252"/>
      <c r="M89" s="280" t="s">
        <v>82</v>
      </c>
      <c r="N89" s="280"/>
      <c r="O89" s="280"/>
      <c r="P89" s="280"/>
      <c r="Q89" s="6"/>
      <c r="R89" s="6"/>
      <c r="S89" s="6"/>
      <c r="T89" s="19"/>
      <c r="U89" s="26"/>
      <c r="V89" s="26"/>
      <c r="W89" s="26"/>
    </row>
    <row r="90" spans="1:23" s="1" customFormat="1" ht="11.25" customHeight="1">
      <c r="A90" s="152"/>
      <c r="B90" s="70"/>
      <c r="C90" s="70"/>
      <c r="D90" s="245" t="s">
        <v>2</v>
      </c>
      <c r="E90" s="245"/>
      <c r="F90" s="11">
        <v>1</v>
      </c>
      <c r="G90" s="6"/>
      <c r="H90" s="2"/>
      <c r="I90" s="2"/>
      <c r="J90" s="2"/>
      <c r="K90" s="245" t="s">
        <v>3</v>
      </c>
      <c r="L90" s="245"/>
      <c r="M90" s="243" t="s">
        <v>146</v>
      </c>
      <c r="N90" s="243"/>
      <c r="O90" s="243"/>
      <c r="P90" s="243"/>
      <c r="Q90" s="243"/>
      <c r="R90" s="243"/>
      <c r="S90" s="243"/>
      <c r="T90" s="20"/>
      <c r="U90" s="27"/>
      <c r="V90" s="27"/>
      <c r="W90" s="27"/>
    </row>
    <row r="91" spans="1:23" s="1" customFormat="1" ht="21.75" customHeight="1">
      <c r="A91" s="254" t="s">
        <v>4</v>
      </c>
      <c r="B91" s="265" t="s">
        <v>5</v>
      </c>
      <c r="C91" s="266"/>
      <c r="D91" s="254" t="s">
        <v>6</v>
      </c>
      <c r="E91" s="240" t="s">
        <v>7</v>
      </c>
      <c r="F91" s="241"/>
      <c r="G91" s="242"/>
      <c r="H91" s="254" t="s">
        <v>8</v>
      </c>
      <c r="I91" s="240" t="s">
        <v>9</v>
      </c>
      <c r="J91" s="241"/>
      <c r="K91" s="241"/>
      <c r="L91" s="241"/>
      <c r="M91" s="242"/>
      <c r="N91" s="240" t="s">
        <v>10</v>
      </c>
      <c r="O91" s="241"/>
      <c r="P91" s="241"/>
      <c r="Q91" s="241"/>
      <c r="R91" s="241"/>
      <c r="S91" s="242"/>
      <c r="T91" s="14"/>
      <c r="U91" s="28"/>
      <c r="V91" s="28"/>
      <c r="W91" s="28"/>
    </row>
    <row r="92" spans="1:23" s="1" customFormat="1" ht="21" customHeight="1">
      <c r="A92" s="255"/>
      <c r="B92" s="259"/>
      <c r="C92" s="260"/>
      <c r="D92" s="255"/>
      <c r="E92" s="119" t="s">
        <v>11</v>
      </c>
      <c r="F92" s="47" t="s">
        <v>12</v>
      </c>
      <c r="G92" s="47" t="s">
        <v>13</v>
      </c>
      <c r="H92" s="255"/>
      <c r="I92" s="47" t="s">
        <v>14</v>
      </c>
      <c r="J92" s="47" t="s">
        <v>66</v>
      </c>
      <c r="K92" s="47" t="s">
        <v>15</v>
      </c>
      <c r="L92" s="47" t="s">
        <v>16</v>
      </c>
      <c r="M92" s="47" t="s">
        <v>17</v>
      </c>
      <c r="N92" s="47" t="s">
        <v>18</v>
      </c>
      <c r="O92" s="47" t="s">
        <v>19</v>
      </c>
      <c r="P92" s="47" t="s">
        <v>67</v>
      </c>
      <c r="Q92" s="47" t="s">
        <v>68</v>
      </c>
      <c r="R92" s="47" t="s">
        <v>20</v>
      </c>
      <c r="S92" s="47" t="s">
        <v>21</v>
      </c>
      <c r="T92" s="14"/>
      <c r="U92" s="28"/>
      <c r="V92" s="28"/>
      <c r="W92" s="28"/>
    </row>
    <row r="93" spans="1:23" s="1" customFormat="1" ht="11.25" customHeight="1">
      <c r="A93" s="99">
        <v>1</v>
      </c>
      <c r="B93" s="235">
        <v>2</v>
      </c>
      <c r="C93" s="236"/>
      <c r="D93" s="48">
        <v>3</v>
      </c>
      <c r="E93" s="120">
        <v>4</v>
      </c>
      <c r="F93" s="48">
        <v>5</v>
      </c>
      <c r="G93" s="48">
        <v>6</v>
      </c>
      <c r="H93" s="48">
        <v>7</v>
      </c>
      <c r="I93" s="48">
        <v>8</v>
      </c>
      <c r="J93" s="48">
        <v>9</v>
      </c>
      <c r="K93" s="48">
        <v>10</v>
      </c>
      <c r="L93" s="48">
        <v>11</v>
      </c>
      <c r="M93" s="48">
        <v>12</v>
      </c>
      <c r="N93" s="48">
        <v>13</v>
      </c>
      <c r="O93" s="48">
        <v>14</v>
      </c>
      <c r="P93" s="48">
        <v>15</v>
      </c>
      <c r="Q93" s="48">
        <v>16</v>
      </c>
      <c r="R93" s="48">
        <v>17</v>
      </c>
      <c r="S93" s="48">
        <v>18</v>
      </c>
      <c r="T93" s="15"/>
      <c r="U93" s="29"/>
      <c r="V93" s="29"/>
      <c r="W93" s="29"/>
    </row>
    <row r="94" spans="1:23" s="1" customFormat="1" ht="11.25" customHeight="1">
      <c r="A94" s="277" t="s">
        <v>25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9"/>
      <c r="T94" s="16"/>
      <c r="U94" s="30"/>
      <c r="V94" s="30"/>
      <c r="W94" s="30"/>
    </row>
    <row r="95" spans="1:23" s="6" customFormat="1" ht="11.25" customHeight="1">
      <c r="A95" s="117">
        <v>59</v>
      </c>
      <c r="B95" s="224" t="s">
        <v>88</v>
      </c>
      <c r="C95" s="225"/>
      <c r="D95" s="91">
        <v>100</v>
      </c>
      <c r="E95" s="93">
        <f>1.06*D95/100</f>
        <v>1.06</v>
      </c>
      <c r="F95" s="93">
        <f>0.17*D95/100</f>
        <v>0.17</v>
      </c>
      <c r="G95" s="93">
        <f>8.52*D95/100</f>
        <v>8.52</v>
      </c>
      <c r="H95" s="93">
        <f>E95*4+F95*9+G95*4</f>
        <v>39.85</v>
      </c>
      <c r="I95" s="89">
        <f>0.05*D95/100</f>
        <v>0.05</v>
      </c>
      <c r="J95" s="89">
        <v>0.02</v>
      </c>
      <c r="K95" s="93">
        <f>4.38*D95/100</f>
        <v>4.38</v>
      </c>
      <c r="L95" s="89">
        <v>0.02</v>
      </c>
      <c r="M95" s="94">
        <f>2.49*D95/100</f>
        <v>2.49</v>
      </c>
      <c r="N95" s="90">
        <f>23.99*D95/100</f>
        <v>23.99</v>
      </c>
      <c r="O95" s="93">
        <f>33.98*D95/100</f>
        <v>33.98</v>
      </c>
      <c r="P95" s="93">
        <v>0.13</v>
      </c>
      <c r="Q95" s="94">
        <v>0.001</v>
      </c>
      <c r="R95" s="93">
        <v>6.6</v>
      </c>
      <c r="S95" s="93">
        <f>1.07*D95/100</f>
        <v>1.07</v>
      </c>
      <c r="T95" s="16"/>
      <c r="U95" s="30"/>
      <c r="V95" s="30"/>
      <c r="W95" s="30"/>
    </row>
    <row r="96" spans="1:23" s="6" customFormat="1" ht="11.25" customHeight="1">
      <c r="A96" s="99"/>
      <c r="B96" s="281" t="s">
        <v>71</v>
      </c>
      <c r="C96" s="233"/>
      <c r="D96" s="5">
        <v>20</v>
      </c>
      <c r="E96" s="93">
        <v>0.1</v>
      </c>
      <c r="F96" s="3">
        <v>0</v>
      </c>
      <c r="G96" s="4">
        <v>14.3</v>
      </c>
      <c r="H96" s="93">
        <f>E96*4+F96*9+G96*4</f>
        <v>57.6</v>
      </c>
      <c r="I96" s="9">
        <v>0.01</v>
      </c>
      <c r="J96" s="9">
        <v>0.01</v>
      </c>
      <c r="K96" s="4">
        <v>2.5</v>
      </c>
      <c r="L96" s="9">
        <v>0.08</v>
      </c>
      <c r="M96" s="94">
        <v>0.09</v>
      </c>
      <c r="N96" s="4">
        <v>3.57</v>
      </c>
      <c r="O96" s="4">
        <v>2.85</v>
      </c>
      <c r="P96" s="9">
        <v>0.01</v>
      </c>
      <c r="Q96" s="12">
        <v>0.001</v>
      </c>
      <c r="R96" s="4">
        <v>0.9</v>
      </c>
      <c r="S96" s="9">
        <v>0.12</v>
      </c>
      <c r="T96" s="21"/>
      <c r="U96" s="32"/>
      <c r="V96" s="32"/>
      <c r="W96" s="32"/>
    </row>
    <row r="97" spans="1:23" s="6" customFormat="1" ht="15" customHeight="1">
      <c r="A97" s="117">
        <v>222</v>
      </c>
      <c r="B97" s="274" t="s">
        <v>85</v>
      </c>
      <c r="C97" s="275"/>
      <c r="D97" s="80">
        <v>200</v>
      </c>
      <c r="E97" s="77">
        <f>14.92*D97/170</f>
        <v>17.55294117647059</v>
      </c>
      <c r="F97" s="77">
        <f>14.38*D97/170</f>
        <v>16.91764705882353</v>
      </c>
      <c r="G97" s="77">
        <f>31.51*D97/170</f>
        <v>37.07058823529412</v>
      </c>
      <c r="H97" s="77">
        <f>E97*4+F97*9+G97*4</f>
        <v>370.7529411764706</v>
      </c>
      <c r="I97" s="78">
        <f>D97*0.31/200</f>
        <v>0.31</v>
      </c>
      <c r="J97" s="78">
        <f>D97*0.48/200</f>
        <v>0.48</v>
      </c>
      <c r="K97" s="78">
        <f>D97*1.1/200</f>
        <v>1.1</v>
      </c>
      <c r="L97" s="77">
        <f>D97*0.25/200</f>
        <v>0.25</v>
      </c>
      <c r="M97" s="79">
        <f>D97*1.6/200</f>
        <v>1.6</v>
      </c>
      <c r="N97" s="78">
        <f>D97*254.08/200</f>
        <v>254.08</v>
      </c>
      <c r="O97" s="78">
        <f>D97*487.77/200</f>
        <v>487.77</v>
      </c>
      <c r="P97" s="78">
        <v>1.2</v>
      </c>
      <c r="Q97" s="79">
        <v>0.02</v>
      </c>
      <c r="R97" s="78">
        <f>D97*110.45/200</f>
        <v>110.45</v>
      </c>
      <c r="S97" s="77">
        <f>D97*2.98/200</f>
        <v>2.98</v>
      </c>
      <c r="T97" s="66"/>
      <c r="U97" s="43"/>
      <c r="V97" s="43"/>
      <c r="W97" s="43"/>
    </row>
    <row r="98" spans="1:23" s="6" customFormat="1" ht="13.5" customHeight="1">
      <c r="A98" s="99">
        <v>376</v>
      </c>
      <c r="B98" s="233" t="s">
        <v>76</v>
      </c>
      <c r="C98" s="233"/>
      <c r="D98" s="91">
        <v>200</v>
      </c>
      <c r="E98" s="93">
        <v>0.2</v>
      </c>
      <c r="F98" s="93">
        <v>0.05</v>
      </c>
      <c r="G98" s="93">
        <v>15.01</v>
      </c>
      <c r="H98" s="93">
        <f>E98*4+F98*9+G98*4</f>
        <v>61.29</v>
      </c>
      <c r="I98" s="91">
        <v>0</v>
      </c>
      <c r="J98" s="93">
        <v>0.01</v>
      </c>
      <c r="K98" s="93">
        <v>9</v>
      </c>
      <c r="L98" s="97">
        <v>0.0001</v>
      </c>
      <c r="M98" s="94">
        <v>0.045</v>
      </c>
      <c r="N98" s="93">
        <v>5.25</v>
      </c>
      <c r="O98" s="93">
        <v>8.24</v>
      </c>
      <c r="P98" s="94">
        <v>0.008</v>
      </c>
      <c r="Q98" s="91">
        <v>0</v>
      </c>
      <c r="R98" s="90">
        <v>4.4</v>
      </c>
      <c r="S98" s="93">
        <v>0.87</v>
      </c>
      <c r="T98" s="21"/>
      <c r="U98" s="32"/>
      <c r="V98" s="32"/>
      <c r="W98" s="32"/>
    </row>
    <row r="99" spans="1:23" s="6" customFormat="1" ht="12.75" customHeight="1">
      <c r="A99" s="99" t="s">
        <v>87</v>
      </c>
      <c r="B99" s="224" t="s">
        <v>60</v>
      </c>
      <c r="C99" s="225"/>
      <c r="D99" s="91">
        <v>40</v>
      </c>
      <c r="E99" s="93">
        <f>1.52*D99/30</f>
        <v>2.0266666666666664</v>
      </c>
      <c r="F99" s="94">
        <f>0.16*D99/30</f>
        <v>0.21333333333333335</v>
      </c>
      <c r="G99" s="94">
        <f>9.84*D99/30</f>
        <v>13.120000000000001</v>
      </c>
      <c r="H99" s="94">
        <f>E99*4+F99*9+G99*4</f>
        <v>62.50666666666667</v>
      </c>
      <c r="I99" s="94">
        <f>0.02*D99/30</f>
        <v>0.02666666666666667</v>
      </c>
      <c r="J99" s="94">
        <f>0.01*D99/30</f>
        <v>0.013333333333333334</v>
      </c>
      <c r="K99" s="94">
        <f>0.44*D99/30</f>
        <v>0.5866666666666667</v>
      </c>
      <c r="L99" s="94">
        <v>0</v>
      </c>
      <c r="M99" s="94">
        <f>0.7*D99/30</f>
        <v>0.9333333333333333</v>
      </c>
      <c r="N99" s="94">
        <f>4*D99/30</f>
        <v>5.333333333333333</v>
      </c>
      <c r="O99" s="94">
        <f>13*D99/30</f>
        <v>17.333333333333332</v>
      </c>
      <c r="P99" s="94">
        <f>0.008*D99/30</f>
        <v>0.010666666666666666</v>
      </c>
      <c r="Q99" s="94">
        <f>0.001*D99/30</f>
        <v>0.0013333333333333333</v>
      </c>
      <c r="R99" s="94">
        <v>0</v>
      </c>
      <c r="S99" s="94">
        <f>0.22*D99/30</f>
        <v>0.29333333333333333</v>
      </c>
      <c r="T99" s="21"/>
      <c r="U99" s="32"/>
      <c r="V99" s="32"/>
      <c r="W99" s="32"/>
    </row>
    <row r="100" spans="1:23" s="6" customFormat="1" ht="14.25" customHeight="1">
      <c r="A100" s="155" t="str">
        <f>'[1]TDSheet'!A314</f>
        <v>Итого за Завтрак молочный</v>
      </c>
      <c r="B100" s="85"/>
      <c r="C100" s="85"/>
      <c r="D100" s="171">
        <f aca="true" t="shared" si="21" ref="D100:S100">SUM(D95:D99)</f>
        <v>560</v>
      </c>
      <c r="E100" s="182">
        <f t="shared" si="21"/>
        <v>20.939607843137257</v>
      </c>
      <c r="F100" s="194">
        <f t="shared" si="21"/>
        <v>17.350980392156867</v>
      </c>
      <c r="G100" s="171">
        <f t="shared" si="21"/>
        <v>88.02058823529413</v>
      </c>
      <c r="H100" s="194">
        <f t="shared" si="21"/>
        <v>591.9996078431373</v>
      </c>
      <c r="I100" s="182">
        <f t="shared" si="21"/>
        <v>0.39666666666666667</v>
      </c>
      <c r="J100" s="182">
        <f t="shared" si="21"/>
        <v>0.5333333333333333</v>
      </c>
      <c r="K100" s="182">
        <f t="shared" si="21"/>
        <v>17.566666666666666</v>
      </c>
      <c r="L100" s="182">
        <f t="shared" si="21"/>
        <v>0.35009999999999997</v>
      </c>
      <c r="M100" s="195">
        <f t="shared" si="21"/>
        <v>5.158333333333333</v>
      </c>
      <c r="N100" s="182">
        <f t="shared" si="21"/>
        <v>292.2233333333333</v>
      </c>
      <c r="O100" s="182">
        <f t="shared" si="21"/>
        <v>550.1733333333334</v>
      </c>
      <c r="P100" s="182">
        <f t="shared" si="21"/>
        <v>1.3586666666666665</v>
      </c>
      <c r="Q100" s="195">
        <f t="shared" si="21"/>
        <v>0.02333333333333333</v>
      </c>
      <c r="R100" s="182">
        <f t="shared" si="21"/>
        <v>122.35000000000001</v>
      </c>
      <c r="S100" s="182">
        <f t="shared" si="21"/>
        <v>5.333333333333333</v>
      </c>
      <c r="T100" s="49"/>
      <c r="U100" s="52"/>
      <c r="V100" s="52"/>
      <c r="W100" s="52"/>
    </row>
    <row r="101" spans="1:23" s="6" customFormat="1" ht="14.25" customHeight="1">
      <c r="A101" s="228" t="s">
        <v>73</v>
      </c>
      <c r="B101" s="229"/>
      <c r="C101" s="229"/>
      <c r="D101" s="230"/>
      <c r="E101" s="98">
        <f aca="true" t="shared" si="22" ref="E101:S101">E100/E120</f>
        <v>0.23266230936819174</v>
      </c>
      <c r="F101" s="67">
        <f t="shared" si="22"/>
        <v>0.1885976129582268</v>
      </c>
      <c r="G101" s="67">
        <f t="shared" si="22"/>
        <v>0.22981876823836586</v>
      </c>
      <c r="H101" s="67">
        <f t="shared" si="22"/>
        <v>0.21764691464821223</v>
      </c>
      <c r="I101" s="67">
        <f t="shared" si="22"/>
        <v>0.2833333333333333</v>
      </c>
      <c r="J101" s="67">
        <f t="shared" si="22"/>
        <v>0.3333333333333333</v>
      </c>
      <c r="K101" s="67">
        <f t="shared" si="22"/>
        <v>0.2509523809523809</v>
      </c>
      <c r="L101" s="67">
        <f t="shared" si="22"/>
        <v>0.38899999999999996</v>
      </c>
      <c r="M101" s="67">
        <f t="shared" si="22"/>
        <v>0.4298611111111111</v>
      </c>
      <c r="N101" s="55">
        <f t="shared" si="22"/>
        <v>0.24351944444444443</v>
      </c>
      <c r="O101" s="67">
        <f t="shared" si="22"/>
        <v>0.4584777777777778</v>
      </c>
      <c r="P101" s="67">
        <f t="shared" si="22"/>
        <v>0.09704761904761904</v>
      </c>
      <c r="Q101" s="67">
        <f t="shared" si="22"/>
        <v>0.2333333333333333</v>
      </c>
      <c r="R101" s="67">
        <f t="shared" si="22"/>
        <v>0.4078333333333334</v>
      </c>
      <c r="S101" s="55">
        <f t="shared" si="22"/>
        <v>0.2962962962962963</v>
      </c>
      <c r="T101" s="61"/>
      <c r="U101" s="52"/>
      <c r="V101" s="52"/>
      <c r="W101" s="52"/>
    </row>
    <row r="102" spans="1:23" s="6" customFormat="1" ht="11.25" customHeight="1">
      <c r="A102" s="237" t="s">
        <v>27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9"/>
      <c r="T102" s="16"/>
      <c r="U102" s="30"/>
      <c r="V102" s="30"/>
      <c r="W102" s="30"/>
    </row>
    <row r="103" spans="1:23" s="92" customFormat="1" ht="11.25" customHeight="1">
      <c r="A103" s="190" t="s">
        <v>123</v>
      </c>
      <c r="B103" s="222" t="s">
        <v>149</v>
      </c>
      <c r="C103" s="223"/>
      <c r="D103" s="185">
        <v>100</v>
      </c>
      <c r="E103" s="186">
        <f>0.944*D103/60</f>
        <v>1.5733333333333333</v>
      </c>
      <c r="F103" s="185">
        <f>2.106*D103/60</f>
        <v>3.51</v>
      </c>
      <c r="G103" s="185">
        <f>2.661*D103/60</f>
        <v>4.4350000000000005</v>
      </c>
      <c r="H103" s="191">
        <f>E103*4+F103*9+G103*4</f>
        <v>55.62333333333333</v>
      </c>
      <c r="I103" s="192">
        <f>0.018*D103/60</f>
        <v>0.029999999999999995</v>
      </c>
      <c r="J103" s="192">
        <f>0.034*D103/60</f>
        <v>0.05666666666666667</v>
      </c>
      <c r="K103" s="186">
        <f>27.9*D103/60</f>
        <v>46.5</v>
      </c>
      <c r="L103" s="192">
        <f>0.002*D103/60</f>
        <v>0.0033333333333333335</v>
      </c>
      <c r="M103" s="192">
        <f>0.943*D103/60</f>
        <v>1.5716666666666665</v>
      </c>
      <c r="N103" s="186">
        <f>26.094*D103/60</f>
        <v>43.49</v>
      </c>
      <c r="O103" s="186">
        <f>19.035*D103/60</f>
        <v>31.725</v>
      </c>
      <c r="P103" s="192">
        <f>0.224*D103/60</f>
        <v>0.37333333333333335</v>
      </c>
      <c r="Q103" s="192">
        <f>0.014*D103/60</f>
        <v>0.023333333333333334</v>
      </c>
      <c r="R103" s="186">
        <f>9*D103/60</f>
        <v>15</v>
      </c>
      <c r="S103" s="186">
        <f>0.367*D103/60</f>
        <v>0.6116666666666667</v>
      </c>
      <c r="T103" s="16"/>
      <c r="U103" s="30"/>
      <c r="V103" s="30"/>
      <c r="W103" s="30"/>
    </row>
    <row r="104" spans="1:23" s="44" customFormat="1" ht="21.75" customHeight="1">
      <c r="A104" s="99">
        <v>24</v>
      </c>
      <c r="B104" s="274" t="s">
        <v>104</v>
      </c>
      <c r="C104" s="275"/>
      <c r="D104" s="91">
        <v>100</v>
      </c>
      <c r="E104" s="93">
        <f>0.3*D104/60</f>
        <v>0.5</v>
      </c>
      <c r="F104" s="93">
        <f>2*D104/60</f>
        <v>3.3333333333333335</v>
      </c>
      <c r="G104" s="93">
        <f>1.6*D104/60</f>
        <v>2.6666666666666665</v>
      </c>
      <c r="H104" s="93">
        <f aca="true" t="shared" si="23" ref="H104:H109">E104*4+F104*9+G104*4</f>
        <v>42.666666666666664</v>
      </c>
      <c r="I104" s="93">
        <f>0.06*D104/60</f>
        <v>0.1</v>
      </c>
      <c r="J104" s="93">
        <f>0.04*D104/60</f>
        <v>0.06666666666666667</v>
      </c>
      <c r="K104" s="93">
        <f>12.4*D104/60</f>
        <v>20.666666666666668</v>
      </c>
      <c r="L104" s="94">
        <f>0.001*D104/60</f>
        <v>0.0016666666666666668</v>
      </c>
      <c r="M104" s="93">
        <f>1.5*D104/60</f>
        <v>2.5</v>
      </c>
      <c r="N104" s="93">
        <f>28.2*D104/60</f>
        <v>47</v>
      </c>
      <c r="O104" s="93">
        <f>32.3*D104/60</f>
        <v>53.83333333333333</v>
      </c>
      <c r="P104" s="93">
        <f>0.3*D104/60</f>
        <v>0.5</v>
      </c>
      <c r="Q104" s="94">
        <f>0.002*D104/60</f>
        <v>0.0033333333333333335</v>
      </c>
      <c r="R104" s="93">
        <f>18.6*D104/60</f>
        <v>31.000000000000004</v>
      </c>
      <c r="S104" s="93">
        <f>0.5*D104/60</f>
        <v>0.8333333333333334</v>
      </c>
      <c r="T104" s="21"/>
      <c r="U104" s="32"/>
      <c r="V104" s="32"/>
      <c r="W104" s="32"/>
    </row>
    <row r="105" spans="1:23" s="6" customFormat="1" ht="22.5" customHeight="1">
      <c r="A105" s="117">
        <v>82</v>
      </c>
      <c r="B105" s="231" t="s">
        <v>113</v>
      </c>
      <c r="C105" s="232"/>
      <c r="D105" s="112" t="s">
        <v>143</v>
      </c>
      <c r="E105" s="93">
        <v>2.43</v>
      </c>
      <c r="F105" s="93">
        <v>3.12</v>
      </c>
      <c r="G105" s="93">
        <v>12.01</v>
      </c>
      <c r="H105" s="93">
        <f t="shared" si="23"/>
        <v>85.84</v>
      </c>
      <c r="I105" s="89">
        <v>0.064</v>
      </c>
      <c r="J105" s="89">
        <v>0.064</v>
      </c>
      <c r="K105" s="93">
        <v>20.98</v>
      </c>
      <c r="L105" s="94">
        <v>0.076</v>
      </c>
      <c r="M105" s="93">
        <v>0.257</v>
      </c>
      <c r="N105" s="93">
        <v>49.59</v>
      </c>
      <c r="O105" s="93">
        <v>58.68</v>
      </c>
      <c r="P105" s="93">
        <v>0.746</v>
      </c>
      <c r="Q105" s="94">
        <v>0.011</v>
      </c>
      <c r="R105" s="93">
        <v>25.43</v>
      </c>
      <c r="S105" s="93">
        <v>1.32</v>
      </c>
      <c r="T105" s="21"/>
      <c r="U105" s="32"/>
      <c r="V105" s="32"/>
      <c r="W105" s="32"/>
    </row>
    <row r="106" spans="1:23" s="6" customFormat="1" ht="11.25" customHeight="1">
      <c r="A106" s="117">
        <v>291</v>
      </c>
      <c r="B106" s="231" t="s">
        <v>53</v>
      </c>
      <c r="C106" s="232"/>
      <c r="D106" s="91">
        <v>280</v>
      </c>
      <c r="E106" s="93">
        <f>D106*18.63/200</f>
        <v>26.081999999999997</v>
      </c>
      <c r="F106" s="93">
        <f>D106*21.78/200</f>
        <v>30.492000000000004</v>
      </c>
      <c r="G106" s="93">
        <f>D106*39.36/200</f>
        <v>55.104</v>
      </c>
      <c r="H106" s="93">
        <f t="shared" si="23"/>
        <v>599.172</v>
      </c>
      <c r="I106" s="93">
        <f>D106*0.68/200</f>
        <v>0.9520000000000001</v>
      </c>
      <c r="J106" s="93">
        <f>D106*0.66/200</f>
        <v>0.924</v>
      </c>
      <c r="K106" s="93">
        <f>D106*3.58/200</f>
        <v>5.012</v>
      </c>
      <c r="L106" s="93">
        <v>0.46</v>
      </c>
      <c r="M106" s="89">
        <v>0</v>
      </c>
      <c r="N106" s="93">
        <f>D106*36.91/200</f>
        <v>51.674</v>
      </c>
      <c r="O106" s="93">
        <f>D106*251.38/200</f>
        <v>351.93199999999996</v>
      </c>
      <c r="P106" s="91">
        <v>0</v>
      </c>
      <c r="Q106" s="91">
        <v>0</v>
      </c>
      <c r="R106" s="93">
        <f>D106*53.66/200</f>
        <v>75.124</v>
      </c>
      <c r="S106" s="93">
        <f>D106*2.31/200</f>
        <v>3.2340000000000004</v>
      </c>
      <c r="T106" s="21"/>
      <c r="U106" s="32"/>
      <c r="V106" s="32"/>
      <c r="W106" s="32"/>
    </row>
    <row r="107" spans="1:23" s="6" customFormat="1" ht="12" customHeight="1">
      <c r="A107" s="99">
        <v>342</v>
      </c>
      <c r="B107" s="231" t="s">
        <v>95</v>
      </c>
      <c r="C107" s="232"/>
      <c r="D107" s="91">
        <v>200</v>
      </c>
      <c r="E107" s="93">
        <v>0.16</v>
      </c>
      <c r="F107" s="89">
        <v>0.16</v>
      </c>
      <c r="G107" s="90">
        <v>27.87</v>
      </c>
      <c r="H107" s="93">
        <f t="shared" si="23"/>
        <v>113.56</v>
      </c>
      <c r="I107" s="89">
        <v>0.01</v>
      </c>
      <c r="J107" s="89">
        <v>0.01</v>
      </c>
      <c r="K107" s="90">
        <v>6.6</v>
      </c>
      <c r="L107" s="89">
        <v>0.01</v>
      </c>
      <c r="M107" s="93">
        <v>0.4</v>
      </c>
      <c r="N107" s="93">
        <v>6.88</v>
      </c>
      <c r="O107" s="93">
        <v>4.4</v>
      </c>
      <c r="P107" s="93">
        <v>0.078</v>
      </c>
      <c r="Q107" s="94">
        <v>0.01</v>
      </c>
      <c r="R107" s="93">
        <v>3.6</v>
      </c>
      <c r="S107" s="93">
        <v>0.95</v>
      </c>
      <c r="T107" s="21"/>
      <c r="U107" s="32"/>
      <c r="V107" s="32"/>
      <c r="W107" s="32"/>
    </row>
    <row r="108" spans="1:23" s="6" customFormat="1" ht="11.25" customHeight="1">
      <c r="A108" s="99" t="s">
        <v>87</v>
      </c>
      <c r="B108" s="231" t="s">
        <v>47</v>
      </c>
      <c r="C108" s="232"/>
      <c r="D108" s="91">
        <v>40</v>
      </c>
      <c r="E108" s="93">
        <f>2.64*D108/40</f>
        <v>2.64</v>
      </c>
      <c r="F108" s="93">
        <f>0.48*D108/40</f>
        <v>0.48</v>
      </c>
      <c r="G108" s="93">
        <f>13.68*D108/40</f>
        <v>13.680000000000001</v>
      </c>
      <c r="H108" s="93">
        <f t="shared" si="23"/>
        <v>69.60000000000001</v>
      </c>
      <c r="I108" s="89">
        <f>0.08*D108/40</f>
        <v>0.08</v>
      </c>
      <c r="J108" s="93">
        <f>0.04*D108/40</f>
        <v>0.04</v>
      </c>
      <c r="K108" s="91">
        <v>0</v>
      </c>
      <c r="L108" s="91">
        <v>0</v>
      </c>
      <c r="M108" s="93">
        <f>2.4*D108/100</f>
        <v>0.96</v>
      </c>
      <c r="N108" s="93">
        <f>14*D108/40</f>
        <v>14</v>
      </c>
      <c r="O108" s="93">
        <f>63.2*D108/40</f>
        <v>63.2</v>
      </c>
      <c r="P108" s="93">
        <f>1.2*D108/40</f>
        <v>1.2</v>
      </c>
      <c r="Q108" s="94">
        <f>0.001*D108/40</f>
        <v>0.001</v>
      </c>
      <c r="R108" s="93">
        <f>9.4*D108/40</f>
        <v>9.4</v>
      </c>
      <c r="S108" s="89">
        <f>0.78*D108/40</f>
        <v>0.78</v>
      </c>
      <c r="T108" s="38"/>
      <c r="U108" s="39"/>
      <c r="V108" s="39"/>
      <c r="W108" s="39"/>
    </row>
    <row r="109" spans="1:23" s="6" customFormat="1" ht="11.25" customHeight="1">
      <c r="A109" s="99" t="s">
        <v>87</v>
      </c>
      <c r="B109" s="231" t="s">
        <v>60</v>
      </c>
      <c r="C109" s="232"/>
      <c r="D109" s="91">
        <v>40</v>
      </c>
      <c r="E109" s="93">
        <f>1.52*D109/30</f>
        <v>2.0266666666666664</v>
      </c>
      <c r="F109" s="94">
        <f>0.16*D109/30</f>
        <v>0.21333333333333335</v>
      </c>
      <c r="G109" s="94">
        <f>9.84*D109/30</f>
        <v>13.120000000000001</v>
      </c>
      <c r="H109" s="94">
        <f t="shared" si="23"/>
        <v>62.50666666666667</v>
      </c>
      <c r="I109" s="94">
        <f>0.02*D109/30</f>
        <v>0.02666666666666667</v>
      </c>
      <c r="J109" s="94">
        <f>0.01*D109/30</f>
        <v>0.013333333333333334</v>
      </c>
      <c r="K109" s="94">
        <f>0.44*D109/30</f>
        <v>0.5866666666666667</v>
      </c>
      <c r="L109" s="94">
        <v>0</v>
      </c>
      <c r="M109" s="94">
        <f>0.7*D109/30</f>
        <v>0.9333333333333333</v>
      </c>
      <c r="N109" s="94">
        <f>4*D109/30</f>
        <v>5.333333333333333</v>
      </c>
      <c r="O109" s="94">
        <f>13*D109/30</f>
        <v>17.333333333333332</v>
      </c>
      <c r="P109" s="94">
        <f>0.008*D109/30</f>
        <v>0.010666666666666666</v>
      </c>
      <c r="Q109" s="94">
        <f>0.001*D109/30</f>
        <v>0.0013333333333333333</v>
      </c>
      <c r="R109" s="94">
        <v>0</v>
      </c>
      <c r="S109" s="94">
        <f>0.22*D109/30</f>
        <v>0.29333333333333333</v>
      </c>
      <c r="T109" s="21"/>
      <c r="U109" s="32"/>
      <c r="V109" s="32"/>
      <c r="W109" s="32"/>
    </row>
    <row r="110" spans="1:23" s="6" customFormat="1" ht="11.25" customHeight="1">
      <c r="A110" s="155" t="s">
        <v>28</v>
      </c>
      <c r="B110" s="84"/>
      <c r="C110" s="84"/>
      <c r="D110" s="171">
        <v>925</v>
      </c>
      <c r="E110" s="50">
        <f>SUM(E104:E109)</f>
        <v>33.83866666666666</v>
      </c>
      <c r="F110" s="49">
        <f>SUM(F104:F109)</f>
        <v>37.79866666666666</v>
      </c>
      <c r="G110" s="49">
        <f>SUM(G104:G109)</f>
        <v>124.45066666666668</v>
      </c>
      <c r="H110" s="49">
        <f>SUM(H104:H109)</f>
        <v>973.3453333333333</v>
      </c>
      <c r="I110" s="50">
        <f aca="true" t="shared" si="24" ref="I110:R110">SUM(I104:I109)</f>
        <v>1.2326666666666668</v>
      </c>
      <c r="J110" s="50">
        <f t="shared" si="24"/>
        <v>1.118</v>
      </c>
      <c r="K110" s="49">
        <f t="shared" si="24"/>
        <v>53.845333333333336</v>
      </c>
      <c r="L110" s="50">
        <f t="shared" si="24"/>
        <v>0.5476666666666667</v>
      </c>
      <c r="M110" s="54">
        <f t="shared" si="24"/>
        <v>5.050333333333334</v>
      </c>
      <c r="N110" s="49">
        <f t="shared" si="24"/>
        <v>174.47733333333335</v>
      </c>
      <c r="O110" s="50">
        <f t="shared" si="24"/>
        <v>549.3786666666666</v>
      </c>
      <c r="P110" s="49">
        <f t="shared" si="24"/>
        <v>2.534666666666667</v>
      </c>
      <c r="Q110" s="51">
        <f t="shared" si="24"/>
        <v>0.026666666666666665</v>
      </c>
      <c r="R110" s="62">
        <f t="shared" si="24"/>
        <v>144.554</v>
      </c>
      <c r="S110" s="50">
        <f>SUM(S104:S109)</f>
        <v>7.410666666666668</v>
      </c>
      <c r="T110" s="49"/>
      <c r="U110" s="52"/>
      <c r="V110" s="52"/>
      <c r="W110" s="52"/>
    </row>
    <row r="111" spans="1:23" s="6" customFormat="1" ht="11.25" customHeight="1">
      <c r="A111" s="228" t="s">
        <v>73</v>
      </c>
      <c r="B111" s="229"/>
      <c r="C111" s="229"/>
      <c r="D111" s="230"/>
      <c r="E111" s="126">
        <f aca="true" t="shared" si="25" ref="E111:S111">E110/E120</f>
        <v>0.37598518518518514</v>
      </c>
      <c r="F111" s="67">
        <f t="shared" si="25"/>
        <v>0.41085507246376807</v>
      </c>
      <c r="G111" s="67">
        <f t="shared" si="25"/>
        <v>0.32493646649260227</v>
      </c>
      <c r="H111" s="67">
        <f t="shared" si="25"/>
        <v>0.35784754901960786</v>
      </c>
      <c r="I111" s="67">
        <f t="shared" si="25"/>
        <v>0.8804761904761906</v>
      </c>
      <c r="J111" s="67">
        <f t="shared" si="25"/>
        <v>0.69875</v>
      </c>
      <c r="K111" s="67">
        <f t="shared" si="25"/>
        <v>0.7692190476190477</v>
      </c>
      <c r="L111" s="67">
        <f t="shared" si="25"/>
        <v>0.6085185185185186</v>
      </c>
      <c r="M111" s="67">
        <f t="shared" si="25"/>
        <v>0.42086111111111113</v>
      </c>
      <c r="N111" s="55">
        <f t="shared" si="25"/>
        <v>0.1453977777777778</v>
      </c>
      <c r="O111" s="67">
        <f t="shared" si="25"/>
        <v>0.45781555555555553</v>
      </c>
      <c r="P111" s="67">
        <f t="shared" si="25"/>
        <v>0.18104761904761907</v>
      </c>
      <c r="Q111" s="67">
        <f t="shared" si="25"/>
        <v>0.2666666666666666</v>
      </c>
      <c r="R111" s="67">
        <f t="shared" si="25"/>
        <v>0.4818466666666667</v>
      </c>
      <c r="S111" s="55">
        <f t="shared" si="25"/>
        <v>0.41170370370370374</v>
      </c>
      <c r="T111" s="61"/>
      <c r="U111" s="52"/>
      <c r="V111" s="52"/>
      <c r="W111" s="52"/>
    </row>
    <row r="112" spans="1:23" s="92" customFormat="1" ht="11.25" customHeight="1">
      <c r="A112" s="154" t="s">
        <v>106</v>
      </c>
      <c r="B112" s="145"/>
      <c r="C112" s="145"/>
      <c r="D112" s="148"/>
      <c r="E112" s="50">
        <f>E103+E105+E106+E107+E108+E109</f>
        <v>34.91199999999999</v>
      </c>
      <c r="F112" s="50">
        <f aca="true" t="shared" si="26" ref="F112:S112">F103+F105+F106+F107+F108+F109</f>
        <v>37.97533333333333</v>
      </c>
      <c r="G112" s="50">
        <f t="shared" si="26"/>
        <v>126.21900000000002</v>
      </c>
      <c r="H112" s="50">
        <f t="shared" si="26"/>
        <v>986.302</v>
      </c>
      <c r="I112" s="50">
        <f t="shared" si="26"/>
        <v>1.1626666666666667</v>
      </c>
      <c r="J112" s="50">
        <f t="shared" si="26"/>
        <v>1.108</v>
      </c>
      <c r="K112" s="50">
        <f t="shared" si="26"/>
        <v>79.67866666666667</v>
      </c>
      <c r="L112" s="50">
        <f t="shared" si="26"/>
        <v>0.5493333333333333</v>
      </c>
      <c r="M112" s="50">
        <f t="shared" si="26"/>
        <v>4.122</v>
      </c>
      <c r="N112" s="50">
        <f t="shared" si="26"/>
        <v>170.96733333333336</v>
      </c>
      <c r="O112" s="50">
        <f t="shared" si="26"/>
        <v>527.2703333333333</v>
      </c>
      <c r="P112" s="50">
        <f t="shared" si="26"/>
        <v>2.408</v>
      </c>
      <c r="Q112" s="50">
        <f t="shared" si="26"/>
        <v>0.04666666666666667</v>
      </c>
      <c r="R112" s="50">
        <f t="shared" si="26"/>
        <v>128.554</v>
      </c>
      <c r="S112" s="50">
        <f t="shared" si="26"/>
        <v>7.189</v>
      </c>
      <c r="T112" s="61"/>
      <c r="U112" s="52"/>
      <c r="V112" s="52"/>
      <c r="W112" s="52"/>
    </row>
    <row r="113" spans="1:23" s="6" customFormat="1" ht="11.25" customHeight="1">
      <c r="A113" s="237" t="s">
        <v>29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9"/>
      <c r="T113" s="16"/>
      <c r="U113" s="30"/>
      <c r="V113" s="30"/>
      <c r="W113" s="30"/>
    </row>
    <row r="114" spans="1:23" s="92" customFormat="1" ht="12.75" customHeight="1">
      <c r="A114" s="117">
        <v>341</v>
      </c>
      <c r="B114" s="224" t="s">
        <v>132</v>
      </c>
      <c r="C114" s="225"/>
      <c r="D114" s="80">
        <v>150</v>
      </c>
      <c r="E114" s="77">
        <f>0.39*D114/60</f>
        <v>0.975</v>
      </c>
      <c r="F114" s="77">
        <f>0.18*D114/60</f>
        <v>0.45</v>
      </c>
      <c r="G114" s="77">
        <f>5.37*D114/60</f>
        <v>13.425</v>
      </c>
      <c r="H114" s="77">
        <f>E114*4+F114*9+G114*4</f>
        <v>61.650000000000006</v>
      </c>
      <c r="I114" s="79">
        <f>0.02*D114/60</f>
        <v>0.05</v>
      </c>
      <c r="J114" s="77">
        <f>0.02*D114/60</f>
        <v>0.05</v>
      </c>
      <c r="K114" s="77">
        <f>22.95*D114/60</f>
        <v>57.375</v>
      </c>
      <c r="L114" s="79">
        <f>0.02*D114/60</f>
        <v>0.05</v>
      </c>
      <c r="M114" s="112">
        <f>0.6*D114/60</f>
        <v>1.5</v>
      </c>
      <c r="N114" s="78">
        <f>15*D114/60</f>
        <v>37.5</v>
      </c>
      <c r="O114" s="77">
        <f>10.2*D114/60</f>
        <v>25.5</v>
      </c>
      <c r="P114" s="77">
        <f>0.13*D114/60</f>
        <v>0.325</v>
      </c>
      <c r="Q114" s="79">
        <f>0.001*D114/60</f>
        <v>0.0025</v>
      </c>
      <c r="R114" s="77">
        <f>6.6*D114/60</f>
        <v>16.5</v>
      </c>
      <c r="S114" s="77">
        <f>0.75*D114/60</f>
        <v>1.875</v>
      </c>
      <c r="T114" s="95"/>
      <c r="U114" s="96"/>
      <c r="V114" s="96"/>
      <c r="W114" s="96"/>
    </row>
    <row r="115" spans="1:23" s="92" customFormat="1" ht="12.75" customHeight="1">
      <c r="A115" s="117">
        <v>344</v>
      </c>
      <c r="B115" s="224" t="s">
        <v>50</v>
      </c>
      <c r="C115" s="225"/>
      <c r="D115" s="80">
        <v>200</v>
      </c>
      <c r="E115" s="77">
        <v>0.1</v>
      </c>
      <c r="F115" s="112"/>
      <c r="G115" s="78">
        <v>15.7</v>
      </c>
      <c r="H115" s="77">
        <f>E115*4+F115*9+G115*4</f>
        <v>63.199999999999996</v>
      </c>
      <c r="I115" s="112">
        <v>0.018</v>
      </c>
      <c r="J115" s="112">
        <v>0.012</v>
      </c>
      <c r="K115" s="78">
        <v>8</v>
      </c>
      <c r="L115" s="77">
        <v>0.02</v>
      </c>
      <c r="M115" s="112">
        <v>0.2</v>
      </c>
      <c r="N115" s="78">
        <v>10.8</v>
      </c>
      <c r="O115" s="78">
        <v>1.7</v>
      </c>
      <c r="P115" s="78">
        <v>0.08</v>
      </c>
      <c r="Q115" s="79">
        <v>0.001</v>
      </c>
      <c r="R115" s="78">
        <v>5.8</v>
      </c>
      <c r="S115" s="77">
        <v>1.6</v>
      </c>
      <c r="T115" s="95"/>
      <c r="U115" s="96"/>
      <c r="V115" s="96"/>
      <c r="W115" s="96"/>
    </row>
    <row r="116" spans="1:23" s="92" customFormat="1" ht="12.75" customHeight="1">
      <c r="A116" s="149" t="s">
        <v>87</v>
      </c>
      <c r="B116" s="276" t="s">
        <v>168</v>
      </c>
      <c r="C116" s="232"/>
      <c r="D116" s="91">
        <v>50</v>
      </c>
      <c r="E116" s="93">
        <v>3.95</v>
      </c>
      <c r="F116" s="89">
        <v>4.06</v>
      </c>
      <c r="G116" s="90">
        <v>22.24</v>
      </c>
      <c r="H116" s="90">
        <f>E116*4+F116*9+G116*4</f>
        <v>141.3</v>
      </c>
      <c r="I116" s="89">
        <v>0.02</v>
      </c>
      <c r="J116" s="89">
        <v>0.02</v>
      </c>
      <c r="K116" s="90">
        <v>4.8</v>
      </c>
      <c r="L116" s="89">
        <v>0</v>
      </c>
      <c r="M116" s="89">
        <v>0</v>
      </c>
      <c r="N116" s="90">
        <v>14</v>
      </c>
      <c r="O116" s="90">
        <v>18</v>
      </c>
      <c r="P116" s="90">
        <v>0.03</v>
      </c>
      <c r="Q116" s="90">
        <v>0</v>
      </c>
      <c r="R116" s="90">
        <v>8</v>
      </c>
      <c r="S116" s="93">
        <v>0.72</v>
      </c>
      <c r="T116" s="95"/>
      <c r="U116" s="96"/>
      <c r="V116" s="96"/>
      <c r="W116" s="96"/>
    </row>
    <row r="117" spans="1:23" s="1" customFormat="1" ht="11.25" customHeight="1">
      <c r="A117" s="155" t="s">
        <v>30</v>
      </c>
      <c r="B117" s="84"/>
      <c r="C117" s="84"/>
      <c r="D117" s="189">
        <f>SUM(D114:D116)</f>
        <v>400</v>
      </c>
      <c r="E117" s="193">
        <f aca="true" t="shared" si="27" ref="E117:S117">SUM(E114:E116)</f>
        <v>5.025</v>
      </c>
      <c r="F117" s="193">
        <f t="shared" si="27"/>
        <v>4.51</v>
      </c>
      <c r="G117" s="193">
        <f t="shared" si="27"/>
        <v>51.364999999999995</v>
      </c>
      <c r="H117" s="193">
        <f t="shared" si="27"/>
        <v>266.15</v>
      </c>
      <c r="I117" s="193">
        <f t="shared" si="27"/>
        <v>0.08800000000000001</v>
      </c>
      <c r="J117" s="193">
        <f t="shared" si="27"/>
        <v>0.082</v>
      </c>
      <c r="K117" s="193">
        <f t="shared" si="27"/>
        <v>70.175</v>
      </c>
      <c r="L117" s="193">
        <f t="shared" si="27"/>
        <v>0.07</v>
      </c>
      <c r="M117" s="193">
        <f t="shared" si="27"/>
        <v>1.7</v>
      </c>
      <c r="N117" s="193">
        <f t="shared" si="27"/>
        <v>62.3</v>
      </c>
      <c r="O117" s="193">
        <f t="shared" si="27"/>
        <v>45.2</v>
      </c>
      <c r="P117" s="193">
        <f t="shared" si="27"/>
        <v>0.43500000000000005</v>
      </c>
      <c r="Q117" s="193">
        <f t="shared" si="27"/>
        <v>0.0035</v>
      </c>
      <c r="R117" s="193">
        <f t="shared" si="27"/>
        <v>30.3</v>
      </c>
      <c r="S117" s="193">
        <f t="shared" si="27"/>
        <v>4.195</v>
      </c>
      <c r="T117" s="49"/>
      <c r="U117" s="52"/>
      <c r="V117" s="52"/>
      <c r="W117" s="52"/>
    </row>
    <row r="118" spans="1:23" s="1" customFormat="1" ht="11.25" customHeight="1">
      <c r="A118" s="228" t="s">
        <v>73</v>
      </c>
      <c r="B118" s="229"/>
      <c r="C118" s="229"/>
      <c r="D118" s="230"/>
      <c r="E118" s="98">
        <f>E117/E120</f>
        <v>0.05583333333333334</v>
      </c>
      <c r="F118" s="67">
        <f aca="true" t="shared" si="28" ref="F118:S118">F117/F120</f>
        <v>0.04902173913043478</v>
      </c>
      <c r="G118" s="67">
        <f t="shared" si="28"/>
        <v>0.13411227154046995</v>
      </c>
      <c r="H118" s="67">
        <f t="shared" si="28"/>
        <v>0.09784926470588234</v>
      </c>
      <c r="I118" s="67">
        <f t="shared" si="28"/>
        <v>0.06285714285714286</v>
      </c>
      <c r="J118" s="67">
        <f t="shared" si="28"/>
        <v>0.05125</v>
      </c>
      <c r="K118" s="67">
        <f t="shared" si="28"/>
        <v>1.0025</v>
      </c>
      <c r="L118" s="67">
        <f t="shared" si="28"/>
        <v>0.07777777777777778</v>
      </c>
      <c r="M118" s="67">
        <f t="shared" si="28"/>
        <v>0.14166666666666666</v>
      </c>
      <c r="N118" s="67">
        <f t="shared" si="28"/>
        <v>0.051916666666666667</v>
      </c>
      <c r="O118" s="67">
        <f t="shared" si="28"/>
        <v>0.03766666666666667</v>
      </c>
      <c r="P118" s="67">
        <f t="shared" si="28"/>
        <v>0.031071428571428576</v>
      </c>
      <c r="Q118" s="67">
        <f t="shared" si="28"/>
        <v>0.034999999999999996</v>
      </c>
      <c r="R118" s="67">
        <f t="shared" si="28"/>
        <v>0.101</v>
      </c>
      <c r="S118" s="55">
        <f t="shared" si="28"/>
        <v>0.23305555555555557</v>
      </c>
      <c r="T118" s="61"/>
      <c r="U118" s="52"/>
      <c r="V118" s="52"/>
      <c r="W118" s="52"/>
    </row>
    <row r="119" spans="1:23" s="1" customFormat="1" ht="11.25" customHeight="1">
      <c r="A119" s="246" t="s">
        <v>72</v>
      </c>
      <c r="B119" s="247"/>
      <c r="C119" s="247"/>
      <c r="D119" s="248"/>
      <c r="E119" s="50">
        <f aca="true" t="shared" si="29" ref="E119:S119">SUM(E100,E110,E117)</f>
        <v>59.80327450980392</v>
      </c>
      <c r="F119" s="49">
        <f t="shared" si="29"/>
        <v>59.65964705882353</v>
      </c>
      <c r="G119" s="49">
        <f t="shared" si="29"/>
        <v>263.8362549019608</v>
      </c>
      <c r="H119" s="49">
        <f t="shared" si="29"/>
        <v>1831.4949411764705</v>
      </c>
      <c r="I119" s="50">
        <f t="shared" si="29"/>
        <v>1.7173333333333336</v>
      </c>
      <c r="J119" s="50">
        <f t="shared" si="29"/>
        <v>1.7333333333333336</v>
      </c>
      <c r="K119" s="62">
        <f t="shared" si="29"/>
        <v>141.587</v>
      </c>
      <c r="L119" s="50">
        <f t="shared" si="29"/>
        <v>0.9677666666666667</v>
      </c>
      <c r="M119" s="62">
        <f t="shared" si="29"/>
        <v>11.908666666666665</v>
      </c>
      <c r="N119" s="49">
        <f t="shared" si="29"/>
        <v>529.0006666666666</v>
      </c>
      <c r="O119" s="49">
        <f t="shared" si="29"/>
        <v>1144.7520000000002</v>
      </c>
      <c r="P119" s="49">
        <f t="shared" si="29"/>
        <v>4.328333333333333</v>
      </c>
      <c r="Q119" s="51">
        <f t="shared" si="29"/>
        <v>0.0535</v>
      </c>
      <c r="R119" s="50">
        <f t="shared" si="29"/>
        <v>297.204</v>
      </c>
      <c r="S119" s="50">
        <f t="shared" si="29"/>
        <v>16.939</v>
      </c>
      <c r="T119" s="53"/>
      <c r="U119" s="52"/>
      <c r="V119" s="52"/>
      <c r="W119" s="52"/>
    </row>
    <row r="120" spans="1:23" s="1" customFormat="1" ht="11.25" customHeight="1">
      <c r="A120" s="246" t="s">
        <v>74</v>
      </c>
      <c r="B120" s="247"/>
      <c r="C120" s="247"/>
      <c r="D120" s="248"/>
      <c r="E120" s="93">
        <v>90</v>
      </c>
      <c r="F120" s="90">
        <v>92</v>
      </c>
      <c r="G120" s="90">
        <v>383</v>
      </c>
      <c r="H120" s="90">
        <v>2720</v>
      </c>
      <c r="I120" s="93">
        <v>1.4</v>
      </c>
      <c r="J120" s="93">
        <v>1.6</v>
      </c>
      <c r="K120" s="91">
        <v>70</v>
      </c>
      <c r="L120" s="93">
        <v>0.9</v>
      </c>
      <c r="M120" s="91">
        <v>12</v>
      </c>
      <c r="N120" s="91">
        <v>1200</v>
      </c>
      <c r="O120" s="91">
        <v>1200</v>
      </c>
      <c r="P120" s="91">
        <v>14</v>
      </c>
      <c r="Q120" s="90">
        <v>0.1</v>
      </c>
      <c r="R120" s="91">
        <v>300</v>
      </c>
      <c r="S120" s="93">
        <v>18</v>
      </c>
      <c r="T120" s="21"/>
      <c r="U120" s="32"/>
      <c r="V120" s="32"/>
      <c r="W120" s="32"/>
    </row>
    <row r="121" spans="1:23" s="13" customFormat="1" ht="11.25" customHeight="1">
      <c r="A121" s="228" t="s">
        <v>73</v>
      </c>
      <c r="B121" s="229"/>
      <c r="C121" s="229"/>
      <c r="D121" s="230"/>
      <c r="E121" s="98">
        <f aca="true" t="shared" si="30" ref="E121:S121">E119/E120</f>
        <v>0.6644808278867103</v>
      </c>
      <c r="F121" s="55">
        <f t="shared" si="30"/>
        <v>0.6484744245524297</v>
      </c>
      <c r="G121" s="55">
        <f t="shared" si="30"/>
        <v>0.6888675062714381</v>
      </c>
      <c r="H121" s="55">
        <f t="shared" si="30"/>
        <v>0.6733437283737024</v>
      </c>
      <c r="I121" s="55">
        <f t="shared" si="30"/>
        <v>1.226666666666667</v>
      </c>
      <c r="J121" s="55">
        <f t="shared" si="30"/>
        <v>1.0833333333333335</v>
      </c>
      <c r="K121" s="55">
        <f t="shared" si="30"/>
        <v>2.0226714285714285</v>
      </c>
      <c r="L121" s="57">
        <f t="shared" si="30"/>
        <v>1.0752962962962962</v>
      </c>
      <c r="M121" s="55">
        <f t="shared" si="30"/>
        <v>0.9923888888888888</v>
      </c>
      <c r="N121" s="55">
        <f t="shared" si="30"/>
        <v>0.4408338888888888</v>
      </c>
      <c r="O121" s="55">
        <f t="shared" si="30"/>
        <v>0.9539600000000001</v>
      </c>
      <c r="P121" s="55">
        <f t="shared" si="30"/>
        <v>0.30916666666666665</v>
      </c>
      <c r="Q121" s="57">
        <f t="shared" si="30"/>
        <v>0.5349999999999999</v>
      </c>
      <c r="R121" s="55">
        <f t="shared" si="30"/>
        <v>0.99068</v>
      </c>
      <c r="S121" s="57">
        <f t="shared" si="30"/>
        <v>0.9410555555555555</v>
      </c>
      <c r="T121" s="64"/>
      <c r="U121" s="65"/>
      <c r="V121" s="65"/>
      <c r="W121" s="65"/>
    </row>
    <row r="122" spans="1:23" s="13" customFormat="1" ht="11.25" customHeight="1">
      <c r="A122" s="209"/>
      <c r="B122" s="209"/>
      <c r="C122" s="209"/>
      <c r="D122" s="209"/>
      <c r="E122" s="210"/>
      <c r="F122" s="211"/>
      <c r="G122" s="211"/>
      <c r="H122" s="211"/>
      <c r="I122" s="211"/>
      <c r="J122" s="211"/>
      <c r="K122" s="211"/>
      <c r="L122" s="212"/>
      <c r="M122" s="211"/>
      <c r="N122" s="211"/>
      <c r="O122" s="211"/>
      <c r="P122" s="211"/>
      <c r="Q122" s="212"/>
      <c r="R122" s="211"/>
      <c r="S122" s="212"/>
      <c r="T122" s="64"/>
      <c r="U122" s="65"/>
      <c r="V122" s="65"/>
      <c r="W122" s="65"/>
    </row>
    <row r="123" spans="1:23" s="1" customFormat="1" ht="11.25" customHeight="1">
      <c r="A123" s="150"/>
      <c r="B123" s="70"/>
      <c r="C123" s="70"/>
      <c r="D123" s="6"/>
      <c r="E123" s="44"/>
      <c r="F123" s="6"/>
      <c r="G123" s="6"/>
      <c r="H123" s="6"/>
      <c r="I123" s="6"/>
      <c r="J123" s="6"/>
      <c r="K123" s="6"/>
      <c r="L123" s="244" t="s">
        <v>86</v>
      </c>
      <c r="M123" s="244"/>
      <c r="N123" s="244"/>
      <c r="O123" s="244"/>
      <c r="P123" s="244"/>
      <c r="Q123" s="244"/>
      <c r="R123" s="244"/>
      <c r="S123" s="244"/>
      <c r="T123" s="17"/>
      <c r="U123" s="25"/>
      <c r="V123" s="25"/>
      <c r="W123" s="25"/>
    </row>
    <row r="124" spans="1:23" s="1" customFormat="1" ht="11.25" customHeight="1">
      <c r="A124" s="256" t="s">
        <v>35</v>
      </c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18"/>
      <c r="U124" s="31"/>
      <c r="V124" s="31"/>
      <c r="W124" s="31"/>
    </row>
    <row r="125" spans="1:23" s="1" customFormat="1" ht="11.25" customHeight="1">
      <c r="A125" s="151" t="s">
        <v>64</v>
      </c>
      <c r="B125" s="70"/>
      <c r="C125" s="70"/>
      <c r="D125" s="2"/>
      <c r="E125" s="44"/>
      <c r="F125" s="243" t="s">
        <v>36</v>
      </c>
      <c r="G125" s="243"/>
      <c r="H125" s="243"/>
      <c r="I125" s="6"/>
      <c r="J125" s="6"/>
      <c r="K125" s="252" t="s">
        <v>1</v>
      </c>
      <c r="L125" s="252"/>
      <c r="M125" s="280" t="s">
        <v>82</v>
      </c>
      <c r="N125" s="280"/>
      <c r="O125" s="280"/>
      <c r="P125" s="280"/>
      <c r="Q125" s="6"/>
      <c r="R125" s="6"/>
      <c r="S125" s="6"/>
      <c r="T125" s="19"/>
      <c r="U125" s="26"/>
      <c r="V125" s="26"/>
      <c r="W125" s="26"/>
    </row>
    <row r="126" spans="1:23" s="1" customFormat="1" ht="11.25" customHeight="1">
      <c r="A126" s="152"/>
      <c r="B126" s="70"/>
      <c r="C126" s="70"/>
      <c r="D126" s="245" t="s">
        <v>2</v>
      </c>
      <c r="E126" s="245"/>
      <c r="F126" s="11">
        <v>1</v>
      </c>
      <c r="G126" s="6"/>
      <c r="H126" s="2"/>
      <c r="I126" s="2"/>
      <c r="J126" s="2"/>
      <c r="K126" s="245" t="s">
        <v>3</v>
      </c>
      <c r="L126" s="245"/>
      <c r="M126" s="243" t="s">
        <v>146</v>
      </c>
      <c r="N126" s="243"/>
      <c r="O126" s="243"/>
      <c r="P126" s="243"/>
      <c r="Q126" s="243"/>
      <c r="R126" s="243"/>
      <c r="S126" s="243"/>
      <c r="T126" s="20"/>
      <c r="U126" s="27"/>
      <c r="V126" s="27"/>
      <c r="W126" s="27"/>
    </row>
    <row r="127" spans="1:23" s="1" customFormat="1" ht="21.75" customHeight="1">
      <c r="A127" s="254" t="s">
        <v>4</v>
      </c>
      <c r="B127" s="265" t="s">
        <v>5</v>
      </c>
      <c r="C127" s="266"/>
      <c r="D127" s="254" t="s">
        <v>6</v>
      </c>
      <c r="E127" s="240" t="s">
        <v>7</v>
      </c>
      <c r="F127" s="241"/>
      <c r="G127" s="242"/>
      <c r="H127" s="254" t="s">
        <v>8</v>
      </c>
      <c r="I127" s="240" t="s">
        <v>9</v>
      </c>
      <c r="J127" s="241"/>
      <c r="K127" s="241"/>
      <c r="L127" s="241"/>
      <c r="M127" s="242"/>
      <c r="N127" s="240" t="s">
        <v>10</v>
      </c>
      <c r="O127" s="241"/>
      <c r="P127" s="241"/>
      <c r="Q127" s="241"/>
      <c r="R127" s="241"/>
      <c r="S127" s="242"/>
      <c r="T127" s="14"/>
      <c r="U127" s="28"/>
      <c r="V127" s="28"/>
      <c r="W127" s="28"/>
    </row>
    <row r="128" spans="1:23" s="1" customFormat="1" ht="21" customHeight="1">
      <c r="A128" s="255"/>
      <c r="B128" s="259"/>
      <c r="C128" s="260"/>
      <c r="D128" s="255"/>
      <c r="E128" s="119" t="s">
        <v>11</v>
      </c>
      <c r="F128" s="47" t="s">
        <v>12</v>
      </c>
      <c r="G128" s="47" t="s">
        <v>13</v>
      </c>
      <c r="H128" s="255"/>
      <c r="I128" s="47" t="s">
        <v>14</v>
      </c>
      <c r="J128" s="47" t="s">
        <v>66</v>
      </c>
      <c r="K128" s="47" t="s">
        <v>15</v>
      </c>
      <c r="L128" s="47" t="s">
        <v>16</v>
      </c>
      <c r="M128" s="47" t="s">
        <v>17</v>
      </c>
      <c r="N128" s="47" t="s">
        <v>18</v>
      </c>
      <c r="O128" s="47" t="s">
        <v>19</v>
      </c>
      <c r="P128" s="47" t="s">
        <v>67</v>
      </c>
      <c r="Q128" s="47" t="s">
        <v>68</v>
      </c>
      <c r="R128" s="47" t="s">
        <v>20</v>
      </c>
      <c r="S128" s="47" t="s">
        <v>21</v>
      </c>
      <c r="T128" s="14"/>
      <c r="U128" s="28"/>
      <c r="V128" s="28"/>
      <c r="W128" s="28"/>
    </row>
    <row r="129" spans="1:23" s="1" customFormat="1" ht="11.25" customHeight="1">
      <c r="A129" s="99">
        <v>1</v>
      </c>
      <c r="B129" s="235">
        <v>2</v>
      </c>
      <c r="C129" s="236"/>
      <c r="D129" s="48">
        <v>3</v>
      </c>
      <c r="E129" s="120">
        <v>4</v>
      </c>
      <c r="F129" s="48">
        <v>5</v>
      </c>
      <c r="G129" s="48">
        <v>6</v>
      </c>
      <c r="H129" s="48">
        <v>7</v>
      </c>
      <c r="I129" s="48">
        <v>8</v>
      </c>
      <c r="J129" s="48">
        <v>9</v>
      </c>
      <c r="K129" s="48">
        <v>10</v>
      </c>
      <c r="L129" s="48">
        <v>11</v>
      </c>
      <c r="M129" s="48">
        <v>12</v>
      </c>
      <c r="N129" s="48">
        <v>13</v>
      </c>
      <c r="O129" s="48">
        <v>14</v>
      </c>
      <c r="P129" s="48">
        <v>15</v>
      </c>
      <c r="Q129" s="48">
        <v>16</v>
      </c>
      <c r="R129" s="48">
        <v>17</v>
      </c>
      <c r="S129" s="48">
        <v>18</v>
      </c>
      <c r="T129" s="15"/>
      <c r="U129" s="29"/>
      <c r="V129" s="29"/>
      <c r="W129" s="29"/>
    </row>
    <row r="130" spans="1:23" s="1" customFormat="1" ht="11.25" customHeight="1">
      <c r="A130" s="237" t="s">
        <v>22</v>
      </c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9"/>
      <c r="T130" s="16"/>
      <c r="U130" s="30"/>
      <c r="V130" s="30"/>
      <c r="W130" s="30"/>
    </row>
    <row r="131" spans="1:23" s="1" customFormat="1" ht="12" customHeight="1">
      <c r="A131" s="117">
        <v>338</v>
      </c>
      <c r="B131" s="234" t="s">
        <v>155</v>
      </c>
      <c r="C131" s="234"/>
      <c r="D131" s="80">
        <v>100</v>
      </c>
      <c r="E131" s="77">
        <v>0.4</v>
      </c>
      <c r="F131" s="112">
        <v>0.4</v>
      </c>
      <c r="G131" s="78">
        <v>9.8</v>
      </c>
      <c r="H131" s="78">
        <f>E131*4+F131*9+G131*4</f>
        <v>44.400000000000006</v>
      </c>
      <c r="I131" s="77">
        <v>0.04</v>
      </c>
      <c r="J131" s="77">
        <v>0.02</v>
      </c>
      <c r="K131" s="80">
        <v>10</v>
      </c>
      <c r="L131" s="80">
        <v>0.02</v>
      </c>
      <c r="M131" s="77">
        <v>0.2</v>
      </c>
      <c r="N131" s="77">
        <v>16</v>
      </c>
      <c r="O131" s="77">
        <v>11</v>
      </c>
      <c r="P131" s="80">
        <v>0.03</v>
      </c>
      <c r="Q131" s="80">
        <v>0.002</v>
      </c>
      <c r="R131" s="77">
        <v>9</v>
      </c>
      <c r="S131" s="77">
        <v>2.2</v>
      </c>
      <c r="T131" s="95"/>
      <c r="U131" s="96"/>
      <c r="V131" s="96"/>
      <c r="W131" s="96"/>
    </row>
    <row r="132" spans="1:23" s="6" customFormat="1" ht="36.75" customHeight="1">
      <c r="A132" s="117" t="s">
        <v>162</v>
      </c>
      <c r="B132" s="224" t="s">
        <v>163</v>
      </c>
      <c r="C132" s="225"/>
      <c r="D132" s="112" t="s">
        <v>164</v>
      </c>
      <c r="E132" s="77">
        <v>10.2</v>
      </c>
      <c r="F132" s="77">
        <v>9.7</v>
      </c>
      <c r="G132" s="77">
        <v>12.5</v>
      </c>
      <c r="H132" s="77">
        <f>E132*4+F132*9+G132*4</f>
        <v>178.1</v>
      </c>
      <c r="I132" s="79">
        <v>0.05</v>
      </c>
      <c r="J132" s="112">
        <v>0.042</v>
      </c>
      <c r="K132" s="77">
        <v>0.341</v>
      </c>
      <c r="L132" s="79">
        <v>0.05</v>
      </c>
      <c r="M132" s="112">
        <v>2.9</v>
      </c>
      <c r="N132" s="77">
        <v>190</v>
      </c>
      <c r="O132" s="77">
        <v>200</v>
      </c>
      <c r="P132" s="77">
        <v>2.65</v>
      </c>
      <c r="Q132" s="79">
        <v>0.02</v>
      </c>
      <c r="R132" s="77">
        <v>18.3</v>
      </c>
      <c r="S132" s="77">
        <v>1.67</v>
      </c>
      <c r="T132" s="21"/>
      <c r="U132" s="32"/>
      <c r="V132" s="32"/>
      <c r="W132" s="32"/>
    </row>
    <row r="133" spans="1:23" s="6" customFormat="1" ht="24" customHeight="1">
      <c r="A133" s="117">
        <v>203</v>
      </c>
      <c r="B133" s="231" t="s">
        <v>111</v>
      </c>
      <c r="C133" s="232"/>
      <c r="D133" s="91">
        <v>180</v>
      </c>
      <c r="E133" s="93">
        <f>5.7*D133/150</f>
        <v>6.84</v>
      </c>
      <c r="F133" s="93">
        <f>3.43*D133/150</f>
        <v>4.116</v>
      </c>
      <c r="G133" s="93">
        <f>36.45*D133/150</f>
        <v>43.74000000000001</v>
      </c>
      <c r="H133" s="93">
        <f>E133*4+F133*9+G133*4</f>
        <v>239.36400000000003</v>
      </c>
      <c r="I133" s="93">
        <f>0.09*D133/150</f>
        <v>0.108</v>
      </c>
      <c r="J133" s="93">
        <f>0.03*D133/150</f>
        <v>0.036</v>
      </c>
      <c r="K133" s="93">
        <v>0</v>
      </c>
      <c r="L133" s="94">
        <f>0.03*D133/150</f>
        <v>0.036</v>
      </c>
      <c r="M133" s="93">
        <f>1.25*D133/150</f>
        <v>1.5</v>
      </c>
      <c r="N133" s="93">
        <f>13.28*D133/150</f>
        <v>15.936</v>
      </c>
      <c r="O133" s="93">
        <f>46.21*D133/150</f>
        <v>55.452</v>
      </c>
      <c r="P133" s="93">
        <f>0.78*D133/150</f>
        <v>0.936</v>
      </c>
      <c r="Q133" s="94">
        <f>0.0015*D133/150</f>
        <v>0.0018000000000000002</v>
      </c>
      <c r="R133" s="93">
        <f>8.47*D133/150</f>
        <v>10.164000000000001</v>
      </c>
      <c r="S133" s="93">
        <f>0.86*D133/150</f>
        <v>1.032</v>
      </c>
      <c r="T133" s="21"/>
      <c r="U133" s="32"/>
      <c r="V133" s="32"/>
      <c r="W133" s="32"/>
    </row>
    <row r="134" spans="1:23" s="6" customFormat="1" ht="12.75" customHeight="1">
      <c r="A134" s="117">
        <v>377</v>
      </c>
      <c r="B134" s="233" t="s">
        <v>46</v>
      </c>
      <c r="C134" s="233"/>
      <c r="D134" s="91" t="s">
        <v>52</v>
      </c>
      <c r="E134" s="93">
        <v>0.26</v>
      </c>
      <c r="F134" s="93">
        <v>0.06</v>
      </c>
      <c r="G134" s="93">
        <v>15.22</v>
      </c>
      <c r="H134" s="93">
        <f>E134*4+F134*9+G134*4</f>
        <v>62.46</v>
      </c>
      <c r="I134" s="93"/>
      <c r="J134" s="93">
        <v>0.01</v>
      </c>
      <c r="K134" s="93">
        <v>2.9</v>
      </c>
      <c r="L134" s="89">
        <v>0</v>
      </c>
      <c r="M134" s="93">
        <v>0.06</v>
      </c>
      <c r="N134" s="93">
        <v>8.05</v>
      </c>
      <c r="O134" s="93">
        <v>9.78</v>
      </c>
      <c r="P134" s="93">
        <v>0.017</v>
      </c>
      <c r="Q134" s="94">
        <v>0</v>
      </c>
      <c r="R134" s="93">
        <v>5.24</v>
      </c>
      <c r="S134" s="93">
        <v>0.87</v>
      </c>
      <c r="T134" s="21"/>
      <c r="U134" s="32"/>
      <c r="V134" s="32"/>
      <c r="W134" s="32"/>
    </row>
    <row r="135" spans="1:23" s="6" customFormat="1" ht="11.25" customHeight="1">
      <c r="A135" s="99" t="s">
        <v>87</v>
      </c>
      <c r="B135" s="224" t="s">
        <v>60</v>
      </c>
      <c r="C135" s="225"/>
      <c r="D135" s="91">
        <v>40</v>
      </c>
      <c r="E135" s="93">
        <f>1.52*D135/30</f>
        <v>2.0266666666666664</v>
      </c>
      <c r="F135" s="94">
        <f>0.16*D135/30</f>
        <v>0.21333333333333335</v>
      </c>
      <c r="G135" s="94">
        <f>9.84*D135/30</f>
        <v>13.120000000000001</v>
      </c>
      <c r="H135" s="94">
        <f>E135*4+F135*9+G135*4</f>
        <v>62.50666666666667</v>
      </c>
      <c r="I135" s="94">
        <f>0.02*D135/30</f>
        <v>0.02666666666666667</v>
      </c>
      <c r="J135" s="94">
        <f>0.01*D135/30</f>
        <v>0.013333333333333334</v>
      </c>
      <c r="K135" s="94">
        <f>0.44*D135/30</f>
        <v>0.5866666666666667</v>
      </c>
      <c r="L135" s="94">
        <v>0</v>
      </c>
      <c r="M135" s="94">
        <f>0.7*D135/30</f>
        <v>0.9333333333333333</v>
      </c>
      <c r="N135" s="94">
        <f>4*D135/30</f>
        <v>5.333333333333333</v>
      </c>
      <c r="O135" s="94">
        <f>13*D135/30</f>
        <v>17.333333333333332</v>
      </c>
      <c r="P135" s="94">
        <f>0.008*D135/30</f>
        <v>0.010666666666666666</v>
      </c>
      <c r="Q135" s="94">
        <f>0.001*D135/30</f>
        <v>0.0013333333333333333</v>
      </c>
      <c r="R135" s="94">
        <v>0</v>
      </c>
      <c r="S135" s="94">
        <f>0.22*D135/30</f>
        <v>0.29333333333333333</v>
      </c>
      <c r="T135" s="21"/>
      <c r="U135" s="32"/>
      <c r="V135" s="32"/>
      <c r="W135" s="32"/>
    </row>
    <row r="136" spans="1:23" s="6" customFormat="1" ht="11.25" customHeight="1">
      <c r="A136" s="155" t="s">
        <v>24</v>
      </c>
      <c r="B136" s="84"/>
      <c r="C136" s="84"/>
      <c r="D136" s="180">
        <v>629</v>
      </c>
      <c r="E136" s="50">
        <f>SUM(E131:E135)</f>
        <v>19.726666666666667</v>
      </c>
      <c r="F136" s="49">
        <f>SUM(F131:F135)</f>
        <v>14.489333333333333</v>
      </c>
      <c r="G136" s="49">
        <f>SUM(G131:G135)</f>
        <v>94.38000000000001</v>
      </c>
      <c r="H136" s="49">
        <f>SUM(H131:H135)</f>
        <v>586.8306666666667</v>
      </c>
      <c r="I136" s="50">
        <f>SUM(I131:I135)</f>
        <v>0.22466666666666668</v>
      </c>
      <c r="J136" s="50">
        <f aca="true" t="shared" si="31" ref="J136:S136">SUM(J131:J135)</f>
        <v>0.12133333333333333</v>
      </c>
      <c r="K136" s="50">
        <f t="shared" si="31"/>
        <v>13.827666666666666</v>
      </c>
      <c r="L136" s="51">
        <f t="shared" si="31"/>
        <v>0.10600000000000001</v>
      </c>
      <c r="M136" s="50">
        <f t="shared" si="31"/>
        <v>5.593333333333333</v>
      </c>
      <c r="N136" s="49">
        <f t="shared" si="31"/>
        <v>235.31933333333336</v>
      </c>
      <c r="O136" s="49">
        <f t="shared" si="31"/>
        <v>293.5653333333333</v>
      </c>
      <c r="P136" s="50">
        <f t="shared" si="31"/>
        <v>3.6436666666666664</v>
      </c>
      <c r="Q136" s="51">
        <f t="shared" si="31"/>
        <v>0.02513333333333333</v>
      </c>
      <c r="R136" s="49">
        <f t="shared" si="31"/>
        <v>42.704</v>
      </c>
      <c r="S136" s="50">
        <f t="shared" si="31"/>
        <v>6.065333333333333</v>
      </c>
      <c r="T136" s="49"/>
      <c r="U136" s="52"/>
      <c r="V136" s="52"/>
      <c r="W136" s="52"/>
    </row>
    <row r="137" spans="1:23" s="6" customFormat="1" ht="11.25" customHeight="1">
      <c r="A137" s="228" t="s">
        <v>73</v>
      </c>
      <c r="B137" s="229"/>
      <c r="C137" s="229"/>
      <c r="D137" s="230"/>
      <c r="E137" s="126">
        <f aca="true" t="shared" si="32" ref="E137:S137">E136/E156</f>
        <v>0.21918518518518518</v>
      </c>
      <c r="F137" s="67">
        <f t="shared" si="32"/>
        <v>0.1574927536231884</v>
      </c>
      <c r="G137" s="67">
        <f t="shared" si="32"/>
        <v>0.2464229765013055</v>
      </c>
      <c r="H137" s="67">
        <f t="shared" si="32"/>
        <v>0.215746568627451</v>
      </c>
      <c r="I137" s="67">
        <f t="shared" si="32"/>
        <v>0.1604761904761905</v>
      </c>
      <c r="J137" s="67">
        <f t="shared" si="32"/>
        <v>0.07583333333333334</v>
      </c>
      <c r="K137" s="67">
        <f t="shared" si="32"/>
        <v>0.19753809523809523</v>
      </c>
      <c r="L137" s="67">
        <f t="shared" si="32"/>
        <v>0.11777777777777779</v>
      </c>
      <c r="M137" s="67">
        <f t="shared" si="32"/>
        <v>0.4661111111111111</v>
      </c>
      <c r="N137" s="55">
        <f t="shared" si="32"/>
        <v>0.19609944444444447</v>
      </c>
      <c r="O137" s="67">
        <f t="shared" si="32"/>
        <v>0.24463777777777773</v>
      </c>
      <c r="P137" s="67">
        <f t="shared" si="32"/>
        <v>0.26026190476190475</v>
      </c>
      <c r="Q137" s="67">
        <f t="shared" si="32"/>
        <v>0.2513333333333333</v>
      </c>
      <c r="R137" s="67">
        <f t="shared" si="32"/>
        <v>0.14234666666666668</v>
      </c>
      <c r="S137" s="55">
        <f t="shared" si="32"/>
        <v>0.33696296296296296</v>
      </c>
      <c r="T137" s="61"/>
      <c r="U137" s="52"/>
      <c r="V137" s="52"/>
      <c r="W137" s="52"/>
    </row>
    <row r="138" spans="1:23" s="6" customFormat="1" ht="11.25" customHeight="1">
      <c r="A138" s="237" t="s">
        <v>27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9"/>
      <c r="T138" s="16"/>
      <c r="U138" s="30"/>
      <c r="V138" s="30"/>
      <c r="W138" s="30"/>
    </row>
    <row r="139" spans="1:23" s="92" customFormat="1" ht="22.5" customHeight="1">
      <c r="A139" s="190" t="s">
        <v>139</v>
      </c>
      <c r="B139" s="222" t="s">
        <v>128</v>
      </c>
      <c r="C139" s="223"/>
      <c r="D139" s="198">
        <v>100</v>
      </c>
      <c r="E139" s="191">
        <f>0.94*D139/60</f>
        <v>1.5666666666666667</v>
      </c>
      <c r="F139" s="191">
        <f>7.22*D139/60</f>
        <v>12.033333333333333</v>
      </c>
      <c r="G139" s="191">
        <f>5.27*D139/60</f>
        <v>8.783333333333333</v>
      </c>
      <c r="H139" s="196">
        <f aca="true" t="shared" si="33" ref="H139:H145">E139*4+F139*9+G139*4</f>
        <v>149.7</v>
      </c>
      <c r="I139" s="198">
        <f>0.03*D139/60</f>
        <v>0.05</v>
      </c>
      <c r="J139" s="198">
        <f>0.03*D139/60</f>
        <v>0.05</v>
      </c>
      <c r="K139" s="198">
        <f>12.4*D139/60</f>
        <v>20.666666666666668</v>
      </c>
      <c r="L139" s="199">
        <f>0.001*D139/60</f>
        <v>0.0016666666666666668</v>
      </c>
      <c r="M139" s="198">
        <f>1.5*D139/60</f>
        <v>2.5</v>
      </c>
      <c r="N139" s="191">
        <f>19.7*D139/60</f>
        <v>32.833333333333336</v>
      </c>
      <c r="O139" s="200">
        <f>20.31*D139/60</f>
        <v>33.849999999999994</v>
      </c>
      <c r="P139" s="198">
        <f>0.3*D139/60</f>
        <v>0.5</v>
      </c>
      <c r="Q139" s="199">
        <f>0.001*D139/60</f>
        <v>0.0016666666666666668</v>
      </c>
      <c r="R139" s="191">
        <f>9.98*D139/60</f>
        <v>16.633333333333333</v>
      </c>
      <c r="S139" s="199">
        <f>0.34*D139/60</f>
        <v>0.5666666666666667</v>
      </c>
      <c r="T139" s="16"/>
      <c r="U139" s="30"/>
      <c r="V139" s="30"/>
      <c r="W139" s="30"/>
    </row>
    <row r="140" spans="1:23" s="6" customFormat="1" ht="22.5" customHeight="1">
      <c r="A140" s="99">
        <v>56</v>
      </c>
      <c r="B140" s="233" t="s">
        <v>45</v>
      </c>
      <c r="C140" s="233"/>
      <c r="D140" s="91">
        <v>100</v>
      </c>
      <c r="E140" s="93">
        <f>0.9*D140/60</f>
        <v>1.5</v>
      </c>
      <c r="F140" s="90">
        <f>3.1*D140/60</f>
        <v>5.166666666666667</v>
      </c>
      <c r="G140" s="90">
        <f>5.6*D140/60</f>
        <v>9.333333333333334</v>
      </c>
      <c r="H140" s="93">
        <f t="shared" si="33"/>
        <v>89.83333333333334</v>
      </c>
      <c r="I140" s="94">
        <f>0.1*D140/60</f>
        <v>0.16666666666666666</v>
      </c>
      <c r="J140" s="94">
        <f>0.1*D140/60</f>
        <v>0.16666666666666666</v>
      </c>
      <c r="K140" s="93">
        <f>12.3*D140/60</f>
        <v>20.5</v>
      </c>
      <c r="L140" s="94">
        <f>0.02*D140/60</f>
        <v>0.03333333333333333</v>
      </c>
      <c r="M140" s="94">
        <f>0.5*D140/60</f>
        <v>0.8333333333333334</v>
      </c>
      <c r="N140" s="90">
        <f>59.9*D140/60</f>
        <v>99.83333333333333</v>
      </c>
      <c r="O140" s="90">
        <f>31.3*D140/60</f>
        <v>52.166666666666664</v>
      </c>
      <c r="P140" s="97">
        <f>0.4228*D140/60</f>
        <v>0.7046666666666667</v>
      </c>
      <c r="Q140" s="94">
        <f>0.003*D140/60</f>
        <v>0.005</v>
      </c>
      <c r="R140" s="90">
        <f>16.3*D140/60</f>
        <v>27.166666666666668</v>
      </c>
      <c r="S140" s="93">
        <f>0.7*D140/60</f>
        <v>1.1666666666666667</v>
      </c>
      <c r="T140" s="21"/>
      <c r="U140" s="32"/>
      <c r="V140" s="32"/>
      <c r="W140" s="32"/>
    </row>
    <row r="141" spans="1:23" s="6" customFormat="1" ht="15" customHeight="1">
      <c r="A141" s="117">
        <v>96</v>
      </c>
      <c r="B141" s="231" t="s">
        <v>129</v>
      </c>
      <c r="C141" s="232"/>
      <c r="D141" s="5">
        <v>250</v>
      </c>
      <c r="E141" s="93">
        <f>2.6*D141/250</f>
        <v>2.6</v>
      </c>
      <c r="F141" s="93">
        <f>6.13*D141/250</f>
        <v>6.13</v>
      </c>
      <c r="G141" s="93">
        <f>17.03*D141/250</f>
        <v>17.03</v>
      </c>
      <c r="H141" s="93">
        <f t="shared" si="33"/>
        <v>133.69</v>
      </c>
      <c r="I141" s="93">
        <f>0.123*D141/250</f>
        <v>0.123</v>
      </c>
      <c r="J141" s="94">
        <f>0.074*D141/250</f>
        <v>0.074</v>
      </c>
      <c r="K141" s="4">
        <f>16.03*D141/250</f>
        <v>16.03</v>
      </c>
      <c r="L141" s="9">
        <f>0.035*D141/250</f>
        <v>0.035</v>
      </c>
      <c r="M141" s="3">
        <v>0</v>
      </c>
      <c r="N141" s="4">
        <f>25.3*D141/250</f>
        <v>25.3</v>
      </c>
      <c r="O141" s="4">
        <f>71.05*D141/250</f>
        <v>71.05</v>
      </c>
      <c r="P141" s="5">
        <v>0</v>
      </c>
      <c r="Q141" s="5">
        <v>0</v>
      </c>
      <c r="R141" s="4">
        <f>26.725*D141/250</f>
        <v>26.725</v>
      </c>
      <c r="S141" s="9">
        <f>0.95*D141/250</f>
        <v>0.95</v>
      </c>
      <c r="T141" s="21"/>
      <c r="U141" s="32"/>
      <c r="V141" s="32"/>
      <c r="W141" s="32"/>
    </row>
    <row r="142" spans="1:23" s="92" customFormat="1" ht="9.75">
      <c r="A142" s="117">
        <v>263</v>
      </c>
      <c r="B142" s="224" t="s">
        <v>150</v>
      </c>
      <c r="C142" s="225"/>
      <c r="D142" s="80">
        <v>280</v>
      </c>
      <c r="E142" s="77">
        <f>15.497*D142/240</f>
        <v>18.079833333333333</v>
      </c>
      <c r="F142" s="77">
        <f>35.912*D142/240</f>
        <v>41.897333333333336</v>
      </c>
      <c r="G142" s="78">
        <f>19.531*D142/240</f>
        <v>22.786166666666663</v>
      </c>
      <c r="H142" s="77">
        <f t="shared" si="33"/>
        <v>540.5400000000001</v>
      </c>
      <c r="I142" s="79">
        <f>0.751*D142/240</f>
        <v>0.8761666666666666</v>
      </c>
      <c r="J142" s="79">
        <f>0.228*D142/240</f>
        <v>0.266</v>
      </c>
      <c r="K142" s="78">
        <f>24.14*D142/240</f>
        <v>28.163333333333334</v>
      </c>
      <c r="L142" s="77">
        <f>0.44*D142/240</f>
        <v>0.5133333333333333</v>
      </c>
      <c r="M142" s="77">
        <f>1.5*D142/240</f>
        <v>1.75</v>
      </c>
      <c r="N142" s="77">
        <f>30.15*D142/240</f>
        <v>35.175</v>
      </c>
      <c r="O142" s="77">
        <f>209.42*D142/240</f>
        <v>244.32333333333332</v>
      </c>
      <c r="P142" s="77">
        <f>2.021*D142/240</f>
        <v>2.3578333333333332</v>
      </c>
      <c r="Q142" s="79">
        <f>0.036*D142/240</f>
        <v>0.042</v>
      </c>
      <c r="R142" s="77">
        <f>49.3*D142/240</f>
        <v>57.516666666666666</v>
      </c>
      <c r="S142" s="77">
        <f>2.354*D142/240</f>
        <v>2.7463333333333333</v>
      </c>
      <c r="T142" s="95"/>
      <c r="U142" s="96"/>
      <c r="V142" s="96"/>
      <c r="W142" s="96"/>
    </row>
    <row r="143" spans="1:23" s="6" customFormat="1" ht="9.75">
      <c r="A143" s="117">
        <v>389</v>
      </c>
      <c r="B143" s="224" t="s">
        <v>125</v>
      </c>
      <c r="C143" s="225"/>
      <c r="D143" s="91">
        <v>200</v>
      </c>
      <c r="E143" s="93">
        <v>1</v>
      </c>
      <c r="F143" s="93">
        <v>0.2</v>
      </c>
      <c r="G143" s="93">
        <v>20.2</v>
      </c>
      <c r="H143" s="93">
        <f t="shared" si="33"/>
        <v>86.6</v>
      </c>
      <c r="I143" s="89">
        <v>0.02</v>
      </c>
      <c r="J143" s="89">
        <v>0.02</v>
      </c>
      <c r="K143" s="90">
        <v>4.8</v>
      </c>
      <c r="L143" s="89">
        <v>0</v>
      </c>
      <c r="M143" s="89">
        <v>0</v>
      </c>
      <c r="N143" s="90">
        <v>14</v>
      </c>
      <c r="O143" s="90">
        <v>18</v>
      </c>
      <c r="P143" s="90">
        <v>0.03</v>
      </c>
      <c r="Q143" s="90">
        <v>0</v>
      </c>
      <c r="R143" s="90">
        <v>8</v>
      </c>
      <c r="S143" s="93">
        <v>0.72</v>
      </c>
      <c r="T143" s="21"/>
      <c r="U143" s="32"/>
      <c r="V143" s="32"/>
      <c r="W143" s="32"/>
    </row>
    <row r="144" spans="1:23" s="6" customFormat="1" ht="11.25" customHeight="1">
      <c r="A144" s="99" t="s">
        <v>87</v>
      </c>
      <c r="B144" s="231" t="s">
        <v>47</v>
      </c>
      <c r="C144" s="232"/>
      <c r="D144" s="91">
        <v>40</v>
      </c>
      <c r="E144" s="93">
        <f>2.64*D144/40</f>
        <v>2.64</v>
      </c>
      <c r="F144" s="93">
        <f>0.48*D144/40</f>
        <v>0.48</v>
      </c>
      <c r="G144" s="93">
        <f>13.68*D144/40</f>
        <v>13.680000000000001</v>
      </c>
      <c r="H144" s="90">
        <f t="shared" si="33"/>
        <v>69.60000000000001</v>
      </c>
      <c r="I144" s="89">
        <f>0.08*D144/40</f>
        <v>0.08</v>
      </c>
      <c r="J144" s="93">
        <f>0.04*D144/40</f>
        <v>0.04</v>
      </c>
      <c r="K144" s="91">
        <v>0</v>
      </c>
      <c r="L144" s="91">
        <v>0</v>
      </c>
      <c r="M144" s="93">
        <f>2.4*D144/100</f>
        <v>0.96</v>
      </c>
      <c r="N144" s="93">
        <f>14*D144/40</f>
        <v>14</v>
      </c>
      <c r="O144" s="93">
        <f>63.2*D144/40</f>
        <v>63.2</v>
      </c>
      <c r="P144" s="93">
        <f>1.2*D144/40</f>
        <v>1.2</v>
      </c>
      <c r="Q144" s="94">
        <f>0.001*D144/40</f>
        <v>0.001</v>
      </c>
      <c r="R144" s="93">
        <f>9.4*D144/40</f>
        <v>9.4</v>
      </c>
      <c r="S144" s="89">
        <f>0.78*D144/40</f>
        <v>0.78</v>
      </c>
      <c r="T144" s="38"/>
      <c r="U144" s="39"/>
      <c r="V144" s="39"/>
      <c r="W144" s="39"/>
    </row>
    <row r="145" spans="1:23" s="6" customFormat="1" ht="11.25" customHeight="1">
      <c r="A145" s="99" t="s">
        <v>87</v>
      </c>
      <c r="B145" s="231" t="s">
        <v>60</v>
      </c>
      <c r="C145" s="232"/>
      <c r="D145" s="91">
        <v>40</v>
      </c>
      <c r="E145" s="93">
        <f>1.52*D145/30</f>
        <v>2.0266666666666664</v>
      </c>
      <c r="F145" s="94">
        <f>0.16*D145/30</f>
        <v>0.21333333333333335</v>
      </c>
      <c r="G145" s="94">
        <f>9.84*D145/30</f>
        <v>13.120000000000001</v>
      </c>
      <c r="H145" s="94">
        <f t="shared" si="33"/>
        <v>62.50666666666667</v>
      </c>
      <c r="I145" s="94">
        <f>0.02*D145/30</f>
        <v>0.02666666666666667</v>
      </c>
      <c r="J145" s="94">
        <f>0.01*D145/30</f>
        <v>0.013333333333333334</v>
      </c>
      <c r="K145" s="94">
        <f>0.44*D145/30</f>
        <v>0.5866666666666667</v>
      </c>
      <c r="L145" s="94">
        <v>0</v>
      </c>
      <c r="M145" s="94">
        <f>0.7*D145/30</f>
        <v>0.9333333333333333</v>
      </c>
      <c r="N145" s="94">
        <f>4*D145/30</f>
        <v>5.333333333333333</v>
      </c>
      <c r="O145" s="94">
        <f>13*D145/30</f>
        <v>17.333333333333332</v>
      </c>
      <c r="P145" s="94">
        <f>0.008*D145/30</f>
        <v>0.010666666666666666</v>
      </c>
      <c r="Q145" s="94">
        <f>0.001*D145/30</f>
        <v>0.0013333333333333333</v>
      </c>
      <c r="R145" s="94">
        <v>0</v>
      </c>
      <c r="S145" s="94">
        <f>0.22*D145/30</f>
        <v>0.29333333333333333</v>
      </c>
      <c r="T145" s="45"/>
      <c r="U145" s="46"/>
      <c r="V145" s="46"/>
      <c r="W145" s="46"/>
    </row>
    <row r="146" spans="1:23" s="6" customFormat="1" ht="11.25" customHeight="1">
      <c r="A146" s="155" t="s">
        <v>28</v>
      </c>
      <c r="B146" s="84"/>
      <c r="C146" s="84"/>
      <c r="D146" s="171">
        <f>SUM(D140:D145)</f>
        <v>910</v>
      </c>
      <c r="E146" s="50">
        <f>SUM(E140:E145)</f>
        <v>27.846500000000002</v>
      </c>
      <c r="F146" s="49">
        <f>SUM(F140:F145)</f>
        <v>54.08733333333333</v>
      </c>
      <c r="G146" s="62">
        <f>SUM(G140:G145)</f>
        <v>96.14950000000002</v>
      </c>
      <c r="H146" s="49">
        <f>SUM(H140:H145)</f>
        <v>982.7700000000001</v>
      </c>
      <c r="I146" s="49">
        <f aca="true" t="shared" si="34" ref="I146:S146">SUM(I140:I145)</f>
        <v>1.2925</v>
      </c>
      <c r="J146" s="49">
        <f t="shared" si="34"/>
        <v>0.58</v>
      </c>
      <c r="K146" s="49">
        <f t="shared" si="34"/>
        <v>70.08</v>
      </c>
      <c r="L146" s="50">
        <f t="shared" si="34"/>
        <v>0.5816666666666667</v>
      </c>
      <c r="M146" s="50">
        <f t="shared" si="34"/>
        <v>4.476666666666667</v>
      </c>
      <c r="N146" s="62">
        <f t="shared" si="34"/>
        <v>193.64166666666668</v>
      </c>
      <c r="O146" s="49">
        <f t="shared" si="34"/>
        <v>466.07333333333327</v>
      </c>
      <c r="P146" s="51">
        <f t="shared" si="34"/>
        <v>4.303166666666666</v>
      </c>
      <c r="Q146" s="51">
        <f t="shared" si="34"/>
        <v>0.04933333333333333</v>
      </c>
      <c r="R146" s="49">
        <f t="shared" si="34"/>
        <v>128.80833333333334</v>
      </c>
      <c r="S146" s="50">
        <f t="shared" si="34"/>
        <v>6.6563333333333325</v>
      </c>
      <c r="T146" s="49"/>
      <c r="U146" s="52"/>
      <c r="V146" s="52"/>
      <c r="W146" s="52"/>
    </row>
    <row r="147" spans="1:23" s="6" customFormat="1" ht="11.25" customHeight="1">
      <c r="A147" s="228" t="s">
        <v>73</v>
      </c>
      <c r="B147" s="229"/>
      <c r="C147" s="229"/>
      <c r="D147" s="230"/>
      <c r="E147" s="126">
        <f>E146/E156</f>
        <v>0.3094055555555556</v>
      </c>
      <c r="F147" s="67">
        <f aca="true" t="shared" si="35" ref="F147:S147">F146/F156</f>
        <v>0.5879057971014493</v>
      </c>
      <c r="G147" s="67">
        <f t="shared" si="35"/>
        <v>0.2510430809399478</v>
      </c>
      <c r="H147" s="67">
        <f t="shared" si="35"/>
        <v>0.36131250000000004</v>
      </c>
      <c r="I147" s="67">
        <f t="shared" si="35"/>
        <v>0.9232142857142858</v>
      </c>
      <c r="J147" s="67">
        <f t="shared" si="35"/>
        <v>0.36249999999999993</v>
      </c>
      <c r="K147" s="67">
        <f t="shared" si="35"/>
        <v>1.0011428571428571</v>
      </c>
      <c r="L147" s="67">
        <f t="shared" si="35"/>
        <v>0.6462962962962963</v>
      </c>
      <c r="M147" s="67">
        <f t="shared" si="35"/>
        <v>0.37305555555555553</v>
      </c>
      <c r="N147" s="55">
        <f t="shared" si="35"/>
        <v>0.16136805555555556</v>
      </c>
      <c r="O147" s="67">
        <f t="shared" si="35"/>
        <v>0.3883944444444444</v>
      </c>
      <c r="P147" s="67">
        <f t="shared" si="35"/>
        <v>0.30736904761904754</v>
      </c>
      <c r="Q147" s="67">
        <f t="shared" si="35"/>
        <v>0.4933333333333333</v>
      </c>
      <c r="R147" s="67">
        <f t="shared" si="35"/>
        <v>0.42936111111111114</v>
      </c>
      <c r="S147" s="55">
        <f t="shared" si="35"/>
        <v>0.36979629629629623</v>
      </c>
      <c r="T147" s="61"/>
      <c r="U147" s="52"/>
      <c r="V147" s="52"/>
      <c r="W147" s="52"/>
    </row>
    <row r="148" spans="1:23" s="92" customFormat="1" ht="11.25" customHeight="1">
      <c r="A148" s="154" t="s">
        <v>106</v>
      </c>
      <c r="B148" s="145"/>
      <c r="C148" s="145"/>
      <c r="D148" s="148"/>
      <c r="E148" s="50">
        <f>E139+E141+E142+E143+E144+E145</f>
        <v>27.91316666666667</v>
      </c>
      <c r="F148" s="50">
        <f aca="true" t="shared" si="36" ref="F148:S148">F139+F141+F142+F143+F144+F145</f>
        <v>60.954</v>
      </c>
      <c r="G148" s="50">
        <f t="shared" si="36"/>
        <v>95.5995</v>
      </c>
      <c r="H148" s="50">
        <f t="shared" si="36"/>
        <v>1042.6366666666668</v>
      </c>
      <c r="I148" s="50">
        <f t="shared" si="36"/>
        <v>1.1758333333333333</v>
      </c>
      <c r="J148" s="50">
        <f t="shared" si="36"/>
        <v>0.4633333333333333</v>
      </c>
      <c r="K148" s="50">
        <f t="shared" si="36"/>
        <v>70.24666666666668</v>
      </c>
      <c r="L148" s="50">
        <f t="shared" si="36"/>
        <v>0.5499999999999999</v>
      </c>
      <c r="M148" s="50">
        <f t="shared" si="36"/>
        <v>6.1433333333333335</v>
      </c>
      <c r="N148" s="50">
        <f t="shared" si="36"/>
        <v>126.64166666666667</v>
      </c>
      <c r="O148" s="50">
        <f t="shared" si="36"/>
        <v>447.7566666666666</v>
      </c>
      <c r="P148" s="50">
        <f t="shared" si="36"/>
        <v>4.0985</v>
      </c>
      <c r="Q148" s="50">
        <f t="shared" si="36"/>
        <v>0.046</v>
      </c>
      <c r="R148" s="50">
        <f t="shared" si="36"/>
        <v>118.275</v>
      </c>
      <c r="S148" s="50">
        <f t="shared" si="36"/>
        <v>6.056333333333333</v>
      </c>
      <c r="T148" s="61"/>
      <c r="U148" s="52"/>
      <c r="V148" s="52"/>
      <c r="W148" s="52"/>
    </row>
    <row r="149" spans="1:23" s="6" customFormat="1" ht="11.25" customHeight="1">
      <c r="A149" s="237" t="s">
        <v>29</v>
      </c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9"/>
      <c r="T149" s="16"/>
      <c r="U149" s="30"/>
      <c r="V149" s="30"/>
      <c r="W149" s="30"/>
    </row>
    <row r="150" spans="1:23" s="92" customFormat="1" ht="11.25" customHeight="1">
      <c r="A150" s="99">
        <v>461</v>
      </c>
      <c r="B150" s="224" t="s">
        <v>134</v>
      </c>
      <c r="C150" s="225"/>
      <c r="D150" s="80">
        <v>150</v>
      </c>
      <c r="E150" s="93">
        <f>3.75*D150/125</f>
        <v>4.5</v>
      </c>
      <c r="F150" s="93">
        <f>3.5*D150/125</f>
        <v>4.2</v>
      </c>
      <c r="G150" s="93">
        <f>15*D150/125</f>
        <v>18</v>
      </c>
      <c r="H150" s="93">
        <f>E150*4+F150*9+G150*4</f>
        <v>127.80000000000001</v>
      </c>
      <c r="I150" s="93">
        <f>0.06*D150/125</f>
        <v>0.072</v>
      </c>
      <c r="J150" s="93">
        <f>0.12*D150/125</f>
        <v>0.144</v>
      </c>
      <c r="K150" s="93">
        <f>1.62*D150/125</f>
        <v>1.9440000000000002</v>
      </c>
      <c r="L150" s="91">
        <v>0</v>
      </c>
      <c r="M150" s="89">
        <v>0</v>
      </c>
      <c r="N150" s="90">
        <f>84*D150/125</f>
        <v>100.8</v>
      </c>
      <c r="O150" s="93">
        <f>130.62*D150/125</f>
        <v>156.744</v>
      </c>
      <c r="P150" s="93">
        <f>0.63*D150/125</f>
        <v>0.756</v>
      </c>
      <c r="Q150" s="94">
        <f>0.006*D150/125</f>
        <v>0.0072</v>
      </c>
      <c r="R150" s="93">
        <f>13.06*D150/125</f>
        <v>15.672</v>
      </c>
      <c r="S150" s="93">
        <f>0.13*D150/125</f>
        <v>0.156</v>
      </c>
      <c r="T150" s="16"/>
      <c r="U150" s="30"/>
      <c r="V150" s="30"/>
      <c r="W150" s="30"/>
    </row>
    <row r="151" spans="1:23" s="6" customFormat="1" ht="11.25" customHeight="1">
      <c r="A151" s="99"/>
      <c r="B151" s="233" t="s">
        <v>55</v>
      </c>
      <c r="C151" s="233"/>
      <c r="D151" s="91">
        <v>20</v>
      </c>
      <c r="E151" s="93">
        <v>1.7</v>
      </c>
      <c r="F151" s="89">
        <v>2.26</v>
      </c>
      <c r="G151" s="90">
        <v>13.8</v>
      </c>
      <c r="H151" s="93">
        <f>E151*4+F151*9+G151*4</f>
        <v>82.34</v>
      </c>
      <c r="I151" s="89">
        <v>0.02</v>
      </c>
      <c r="J151" s="89">
        <v>0.01</v>
      </c>
      <c r="K151" s="89">
        <v>0</v>
      </c>
      <c r="L151" s="93">
        <v>0</v>
      </c>
      <c r="M151" s="89">
        <v>0.2</v>
      </c>
      <c r="N151" s="90">
        <v>8.2</v>
      </c>
      <c r="O151" s="90">
        <v>17.4</v>
      </c>
      <c r="P151" s="91">
        <v>0</v>
      </c>
      <c r="Q151" s="91">
        <v>0</v>
      </c>
      <c r="R151" s="90">
        <v>3</v>
      </c>
      <c r="S151" s="93">
        <v>0.2</v>
      </c>
      <c r="T151" s="21"/>
      <c r="U151" s="32"/>
      <c r="V151" s="32"/>
      <c r="W151" s="32"/>
    </row>
    <row r="152" spans="1:23" s="6" customFormat="1" ht="13.5" customHeight="1">
      <c r="A152" s="99">
        <v>348</v>
      </c>
      <c r="B152" s="231" t="s">
        <v>70</v>
      </c>
      <c r="C152" s="232"/>
      <c r="D152" s="91">
        <v>200</v>
      </c>
      <c r="E152" s="93">
        <v>0.22</v>
      </c>
      <c r="F152" s="89"/>
      <c r="G152" s="93">
        <v>19.43</v>
      </c>
      <c r="H152" s="93">
        <f>E152*4+F152*9+G152*4</f>
        <v>78.6</v>
      </c>
      <c r="I152" s="89">
        <v>0.01</v>
      </c>
      <c r="J152" s="89">
        <v>0.02</v>
      </c>
      <c r="K152" s="90">
        <v>25.2</v>
      </c>
      <c r="L152" s="89"/>
      <c r="M152" s="89">
        <v>0.2</v>
      </c>
      <c r="N152" s="90">
        <v>22.5</v>
      </c>
      <c r="O152" s="90">
        <v>7.7</v>
      </c>
      <c r="P152" s="90">
        <v>0.08</v>
      </c>
      <c r="Q152" s="94">
        <v>0.001</v>
      </c>
      <c r="R152" s="91">
        <v>3</v>
      </c>
      <c r="S152" s="93">
        <v>0.65</v>
      </c>
      <c r="T152" s="21"/>
      <c r="U152" s="32"/>
      <c r="V152" s="32"/>
      <c r="W152" s="32"/>
    </row>
    <row r="153" spans="1:23" s="1" customFormat="1" ht="11.25" customHeight="1">
      <c r="A153" s="155" t="s">
        <v>30</v>
      </c>
      <c r="B153" s="84"/>
      <c r="C153" s="84"/>
      <c r="D153" s="189">
        <f>SUM(D150:D152)</f>
        <v>370</v>
      </c>
      <c r="E153" s="193">
        <f aca="true" t="shared" si="37" ref="E153:S153">SUM(E150:E152)</f>
        <v>6.42</v>
      </c>
      <c r="F153" s="193">
        <f t="shared" si="37"/>
        <v>6.46</v>
      </c>
      <c r="G153" s="193">
        <f t="shared" si="37"/>
        <v>51.230000000000004</v>
      </c>
      <c r="H153" s="193">
        <f t="shared" si="37"/>
        <v>288.74</v>
      </c>
      <c r="I153" s="193">
        <f t="shared" si="37"/>
        <v>0.102</v>
      </c>
      <c r="J153" s="193">
        <f t="shared" si="37"/>
        <v>0.174</v>
      </c>
      <c r="K153" s="193">
        <f t="shared" si="37"/>
        <v>27.144</v>
      </c>
      <c r="L153" s="193">
        <f t="shared" si="37"/>
        <v>0</v>
      </c>
      <c r="M153" s="193">
        <f t="shared" si="37"/>
        <v>0.4</v>
      </c>
      <c r="N153" s="193">
        <f t="shared" si="37"/>
        <v>131.5</v>
      </c>
      <c r="O153" s="193">
        <f t="shared" si="37"/>
        <v>181.844</v>
      </c>
      <c r="P153" s="193">
        <f t="shared" si="37"/>
        <v>0.836</v>
      </c>
      <c r="Q153" s="193">
        <f t="shared" si="37"/>
        <v>0.008199999999999999</v>
      </c>
      <c r="R153" s="193">
        <f t="shared" si="37"/>
        <v>21.672</v>
      </c>
      <c r="S153" s="193">
        <f t="shared" si="37"/>
        <v>1.006</v>
      </c>
      <c r="T153" s="49"/>
      <c r="U153" s="52"/>
      <c r="V153" s="52"/>
      <c r="W153" s="52"/>
    </row>
    <row r="154" spans="1:23" s="1" customFormat="1" ht="11.25" customHeight="1">
      <c r="A154" s="228" t="s">
        <v>73</v>
      </c>
      <c r="B154" s="229"/>
      <c r="C154" s="229"/>
      <c r="D154" s="230"/>
      <c r="E154" s="98">
        <f>E153/E156</f>
        <v>0.07133333333333333</v>
      </c>
      <c r="F154" s="67">
        <f aca="true" t="shared" si="38" ref="F154:S154">F153/F156</f>
        <v>0.07021739130434783</v>
      </c>
      <c r="G154" s="67">
        <f t="shared" si="38"/>
        <v>0.1337597911227154</v>
      </c>
      <c r="H154" s="67">
        <f t="shared" si="38"/>
        <v>0.10615441176470589</v>
      </c>
      <c r="I154" s="67">
        <f t="shared" si="38"/>
        <v>0.07285714285714286</v>
      </c>
      <c r="J154" s="67">
        <f t="shared" si="38"/>
        <v>0.10874999999999999</v>
      </c>
      <c r="K154" s="67">
        <f t="shared" si="38"/>
        <v>0.38777142857142854</v>
      </c>
      <c r="L154" s="67">
        <f t="shared" si="38"/>
        <v>0</v>
      </c>
      <c r="M154" s="67">
        <f t="shared" si="38"/>
        <v>0.03333333333333333</v>
      </c>
      <c r="N154" s="67">
        <f t="shared" si="38"/>
        <v>0.10958333333333334</v>
      </c>
      <c r="O154" s="67">
        <f t="shared" si="38"/>
        <v>0.15153666666666665</v>
      </c>
      <c r="P154" s="67">
        <f t="shared" si="38"/>
        <v>0.05971428571428571</v>
      </c>
      <c r="Q154" s="67">
        <f t="shared" si="38"/>
        <v>0.08199999999999999</v>
      </c>
      <c r="R154" s="67">
        <f t="shared" si="38"/>
        <v>0.07224</v>
      </c>
      <c r="S154" s="55">
        <f t="shared" si="38"/>
        <v>0.05588888888888889</v>
      </c>
      <c r="T154" s="61"/>
      <c r="U154" s="52"/>
      <c r="V154" s="52"/>
      <c r="W154" s="52"/>
    </row>
    <row r="155" spans="1:23" s="1" customFormat="1" ht="11.25" customHeight="1">
      <c r="A155" s="246" t="s">
        <v>72</v>
      </c>
      <c r="B155" s="247"/>
      <c r="C155" s="247"/>
      <c r="D155" s="248"/>
      <c r="E155" s="50">
        <f aca="true" t="shared" si="39" ref="E155:S155">SUM(E136,E146,E153)</f>
        <v>53.99316666666667</v>
      </c>
      <c r="F155" s="49">
        <f t="shared" si="39"/>
        <v>75.03666666666666</v>
      </c>
      <c r="G155" s="49">
        <f t="shared" si="39"/>
        <v>241.75950000000006</v>
      </c>
      <c r="H155" s="49">
        <f t="shared" si="39"/>
        <v>1858.3406666666667</v>
      </c>
      <c r="I155" s="50">
        <f t="shared" si="39"/>
        <v>1.6191666666666669</v>
      </c>
      <c r="J155" s="50">
        <f t="shared" si="39"/>
        <v>0.8753333333333333</v>
      </c>
      <c r="K155" s="49">
        <f t="shared" si="39"/>
        <v>111.05166666666668</v>
      </c>
      <c r="L155" s="50">
        <f t="shared" si="39"/>
        <v>0.6876666666666666</v>
      </c>
      <c r="M155" s="50">
        <f t="shared" si="39"/>
        <v>10.47</v>
      </c>
      <c r="N155" s="49">
        <f t="shared" si="39"/>
        <v>560.461</v>
      </c>
      <c r="O155" s="49">
        <f t="shared" si="39"/>
        <v>941.4826666666665</v>
      </c>
      <c r="P155" s="50">
        <f t="shared" si="39"/>
        <v>8.782833333333333</v>
      </c>
      <c r="Q155" s="51">
        <f t="shared" si="39"/>
        <v>0.08266666666666667</v>
      </c>
      <c r="R155" s="50">
        <f t="shared" si="39"/>
        <v>193.18433333333334</v>
      </c>
      <c r="S155" s="50">
        <f t="shared" si="39"/>
        <v>13.727666666666666</v>
      </c>
      <c r="T155" s="53"/>
      <c r="U155" s="52"/>
      <c r="V155" s="52"/>
      <c r="W155" s="52"/>
    </row>
    <row r="156" spans="1:23" s="1" customFormat="1" ht="11.25" customHeight="1">
      <c r="A156" s="246" t="s">
        <v>74</v>
      </c>
      <c r="B156" s="247"/>
      <c r="C156" s="247"/>
      <c r="D156" s="248"/>
      <c r="E156" s="93">
        <v>90</v>
      </c>
      <c r="F156" s="90">
        <v>92</v>
      </c>
      <c r="G156" s="90">
        <v>383</v>
      </c>
      <c r="H156" s="90">
        <v>2720</v>
      </c>
      <c r="I156" s="93">
        <v>1.4</v>
      </c>
      <c r="J156" s="93">
        <v>1.6</v>
      </c>
      <c r="K156" s="91">
        <v>70</v>
      </c>
      <c r="L156" s="93">
        <v>0.9</v>
      </c>
      <c r="M156" s="91">
        <v>12</v>
      </c>
      <c r="N156" s="91">
        <v>1200</v>
      </c>
      <c r="O156" s="91">
        <v>1200</v>
      </c>
      <c r="P156" s="91">
        <v>14</v>
      </c>
      <c r="Q156" s="90">
        <v>0.1</v>
      </c>
      <c r="R156" s="91">
        <v>300</v>
      </c>
      <c r="S156" s="93">
        <v>18</v>
      </c>
      <c r="T156" s="21"/>
      <c r="U156" s="32"/>
      <c r="V156" s="32"/>
      <c r="W156" s="32"/>
    </row>
    <row r="157" spans="1:23" s="1" customFormat="1" ht="11.25" customHeight="1">
      <c r="A157" s="228" t="s">
        <v>73</v>
      </c>
      <c r="B157" s="229"/>
      <c r="C157" s="229"/>
      <c r="D157" s="230"/>
      <c r="E157" s="98">
        <f aca="true" t="shared" si="40" ref="E157:S157">E155/E156</f>
        <v>0.5999240740740741</v>
      </c>
      <c r="F157" s="55">
        <f t="shared" si="40"/>
        <v>0.8156159420289855</v>
      </c>
      <c r="G157" s="55">
        <f t="shared" si="40"/>
        <v>0.6312258485639688</v>
      </c>
      <c r="H157" s="55">
        <f t="shared" si="40"/>
        <v>0.6832134803921569</v>
      </c>
      <c r="I157" s="55">
        <f t="shared" si="40"/>
        <v>1.1565476190476192</v>
      </c>
      <c r="J157" s="55">
        <f t="shared" si="40"/>
        <v>0.5470833333333333</v>
      </c>
      <c r="K157" s="55">
        <f t="shared" si="40"/>
        <v>1.5864523809523812</v>
      </c>
      <c r="L157" s="57">
        <f t="shared" si="40"/>
        <v>0.764074074074074</v>
      </c>
      <c r="M157" s="57">
        <f t="shared" si="40"/>
        <v>0.8725</v>
      </c>
      <c r="N157" s="55">
        <f t="shared" si="40"/>
        <v>0.46705083333333336</v>
      </c>
      <c r="O157" s="55">
        <f t="shared" si="40"/>
        <v>0.7845688888888888</v>
      </c>
      <c r="P157" s="55">
        <f t="shared" si="40"/>
        <v>0.627345238095238</v>
      </c>
      <c r="Q157" s="57">
        <f t="shared" si="40"/>
        <v>0.8266666666666667</v>
      </c>
      <c r="R157" s="55">
        <f t="shared" si="40"/>
        <v>0.6439477777777778</v>
      </c>
      <c r="S157" s="57">
        <f t="shared" si="40"/>
        <v>0.7626481481481481</v>
      </c>
      <c r="T157" s="64"/>
      <c r="U157" s="65"/>
      <c r="V157" s="65"/>
      <c r="W157" s="65"/>
    </row>
    <row r="158" spans="1:23" s="1" customFormat="1" ht="11.25" customHeight="1">
      <c r="A158" s="152" t="s">
        <v>124</v>
      </c>
      <c r="B158" s="70"/>
      <c r="C158" s="129"/>
      <c r="D158" s="129"/>
      <c r="E158" s="121"/>
      <c r="F158" s="92"/>
      <c r="G158" s="2"/>
      <c r="H158" s="2"/>
      <c r="I158" s="92"/>
      <c r="J158" s="6"/>
      <c r="K158" s="6"/>
      <c r="L158" s="244"/>
      <c r="M158" s="244"/>
      <c r="N158" s="244"/>
      <c r="O158" s="244"/>
      <c r="P158" s="244"/>
      <c r="Q158" s="244"/>
      <c r="R158" s="244"/>
      <c r="S158" s="244"/>
      <c r="T158" s="17"/>
      <c r="U158" s="25"/>
      <c r="V158" s="25"/>
      <c r="W158" s="25"/>
    </row>
    <row r="159" spans="1:23" s="1" customFormat="1" ht="11.25" customHeight="1">
      <c r="A159" s="152"/>
      <c r="B159" s="134" t="s">
        <v>160</v>
      </c>
      <c r="C159" s="134"/>
      <c r="D159" s="135"/>
      <c r="E159" s="135"/>
      <c r="F159" s="136"/>
      <c r="G159" s="137"/>
      <c r="H159" s="138"/>
      <c r="I159" s="92"/>
      <c r="J159" s="92"/>
      <c r="K159" s="92"/>
      <c r="L159" s="130"/>
      <c r="M159" s="130"/>
      <c r="N159" s="130"/>
      <c r="O159" s="130"/>
      <c r="P159" s="130"/>
      <c r="Q159" s="130"/>
      <c r="R159" s="130"/>
      <c r="S159" s="130"/>
      <c r="T159" s="17"/>
      <c r="U159" s="25"/>
      <c r="V159" s="25"/>
      <c r="W159" s="25"/>
    </row>
    <row r="160" spans="1:23" s="1" customFormat="1" ht="11.25" customHeight="1">
      <c r="A160" s="152"/>
      <c r="B160" s="70"/>
      <c r="C160" s="131"/>
      <c r="D160" s="131"/>
      <c r="E160" s="121"/>
      <c r="F160" s="92"/>
      <c r="G160" s="2"/>
      <c r="H160" s="2"/>
      <c r="I160" s="92"/>
      <c r="J160" s="92"/>
      <c r="K160" s="92"/>
      <c r="L160" s="244" t="s">
        <v>86</v>
      </c>
      <c r="M160" s="244"/>
      <c r="N160" s="244"/>
      <c r="O160" s="244"/>
      <c r="P160" s="244"/>
      <c r="Q160" s="244"/>
      <c r="R160" s="244"/>
      <c r="S160" s="244"/>
      <c r="T160" s="17"/>
      <c r="U160" s="25"/>
      <c r="V160" s="25"/>
      <c r="W160" s="25"/>
    </row>
    <row r="161" spans="1:23" s="1" customFormat="1" ht="11.25" customHeight="1">
      <c r="A161" s="256" t="s">
        <v>37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18"/>
      <c r="U161" s="31"/>
      <c r="V161" s="31"/>
      <c r="W161" s="31"/>
    </row>
    <row r="162" spans="1:23" s="1" customFormat="1" ht="11.25" customHeight="1">
      <c r="A162" s="151" t="s">
        <v>64</v>
      </c>
      <c r="B162" s="70"/>
      <c r="C162" s="70"/>
      <c r="D162" s="2"/>
      <c r="E162" s="44"/>
      <c r="F162" s="243" t="s">
        <v>38</v>
      </c>
      <c r="G162" s="243"/>
      <c r="H162" s="243"/>
      <c r="I162" s="6"/>
      <c r="J162" s="6"/>
      <c r="K162" s="252" t="s">
        <v>1</v>
      </c>
      <c r="L162" s="252"/>
      <c r="M162" s="280" t="s">
        <v>83</v>
      </c>
      <c r="N162" s="280"/>
      <c r="O162" s="280"/>
      <c r="P162" s="280"/>
      <c r="Q162" s="6"/>
      <c r="R162" s="6"/>
      <c r="S162" s="6"/>
      <c r="T162" s="19"/>
      <c r="U162" s="26"/>
      <c r="V162" s="26"/>
      <c r="W162" s="26"/>
    </row>
    <row r="163" spans="1:23" s="1" customFormat="1" ht="11.25" customHeight="1">
      <c r="A163" s="152"/>
      <c r="B163" s="70"/>
      <c r="C163" s="70"/>
      <c r="D163" s="245" t="s">
        <v>2</v>
      </c>
      <c r="E163" s="245"/>
      <c r="F163" s="11">
        <v>1</v>
      </c>
      <c r="G163" s="6"/>
      <c r="H163" s="2"/>
      <c r="I163" s="2"/>
      <c r="J163" s="2"/>
      <c r="K163" s="245" t="s">
        <v>3</v>
      </c>
      <c r="L163" s="245"/>
      <c r="M163" s="243" t="s">
        <v>146</v>
      </c>
      <c r="N163" s="243"/>
      <c r="O163" s="243"/>
      <c r="P163" s="243"/>
      <c r="Q163" s="243"/>
      <c r="R163" s="243"/>
      <c r="S163" s="243"/>
      <c r="T163" s="20"/>
      <c r="U163" s="27"/>
      <c r="V163" s="27"/>
      <c r="W163" s="27"/>
    </row>
    <row r="164" spans="1:23" s="1" customFormat="1" ht="21.75" customHeight="1">
      <c r="A164" s="254" t="s">
        <v>4</v>
      </c>
      <c r="B164" s="265" t="s">
        <v>5</v>
      </c>
      <c r="C164" s="266"/>
      <c r="D164" s="254" t="s">
        <v>6</v>
      </c>
      <c r="E164" s="240" t="s">
        <v>7</v>
      </c>
      <c r="F164" s="241"/>
      <c r="G164" s="242"/>
      <c r="H164" s="254" t="s">
        <v>8</v>
      </c>
      <c r="I164" s="240" t="s">
        <v>9</v>
      </c>
      <c r="J164" s="241"/>
      <c r="K164" s="241"/>
      <c r="L164" s="241"/>
      <c r="M164" s="242"/>
      <c r="N164" s="240" t="s">
        <v>10</v>
      </c>
      <c r="O164" s="241"/>
      <c r="P164" s="241"/>
      <c r="Q164" s="241"/>
      <c r="R164" s="241"/>
      <c r="S164" s="242"/>
      <c r="T164" s="14"/>
      <c r="U164" s="28"/>
      <c r="V164" s="28"/>
      <c r="W164" s="28"/>
    </row>
    <row r="165" spans="1:23" s="1" customFormat="1" ht="21" customHeight="1">
      <c r="A165" s="255"/>
      <c r="B165" s="259"/>
      <c r="C165" s="260"/>
      <c r="D165" s="255"/>
      <c r="E165" s="119" t="s">
        <v>11</v>
      </c>
      <c r="F165" s="47" t="s">
        <v>12</v>
      </c>
      <c r="G165" s="47" t="s">
        <v>13</v>
      </c>
      <c r="H165" s="255"/>
      <c r="I165" s="47" t="s">
        <v>14</v>
      </c>
      <c r="J165" s="47" t="s">
        <v>66</v>
      </c>
      <c r="K165" s="47" t="s">
        <v>15</v>
      </c>
      <c r="L165" s="47" t="s">
        <v>16</v>
      </c>
      <c r="M165" s="47" t="s">
        <v>17</v>
      </c>
      <c r="N165" s="47" t="s">
        <v>18</v>
      </c>
      <c r="O165" s="47" t="s">
        <v>19</v>
      </c>
      <c r="P165" s="47" t="s">
        <v>67</v>
      </c>
      <c r="Q165" s="47" t="s">
        <v>68</v>
      </c>
      <c r="R165" s="47" t="s">
        <v>20</v>
      </c>
      <c r="S165" s="47" t="s">
        <v>21</v>
      </c>
      <c r="T165" s="14"/>
      <c r="U165" s="28"/>
      <c r="V165" s="28"/>
      <c r="W165" s="28"/>
    </row>
    <row r="166" spans="1:23" s="1" customFormat="1" ht="11.25" customHeight="1">
      <c r="A166" s="99">
        <v>1</v>
      </c>
      <c r="B166" s="235">
        <v>2</v>
      </c>
      <c r="C166" s="236"/>
      <c r="D166" s="48">
        <v>3</v>
      </c>
      <c r="E166" s="120">
        <v>4</v>
      </c>
      <c r="F166" s="48">
        <v>5</v>
      </c>
      <c r="G166" s="48">
        <v>6</v>
      </c>
      <c r="H166" s="48">
        <v>7</v>
      </c>
      <c r="I166" s="48">
        <v>8</v>
      </c>
      <c r="J166" s="48">
        <v>9</v>
      </c>
      <c r="K166" s="48">
        <v>10</v>
      </c>
      <c r="L166" s="48">
        <v>11</v>
      </c>
      <c r="M166" s="48">
        <v>12</v>
      </c>
      <c r="N166" s="48">
        <v>13</v>
      </c>
      <c r="O166" s="48">
        <v>14</v>
      </c>
      <c r="P166" s="48">
        <v>15</v>
      </c>
      <c r="Q166" s="48">
        <v>16</v>
      </c>
      <c r="R166" s="48">
        <v>17</v>
      </c>
      <c r="S166" s="48">
        <v>18</v>
      </c>
      <c r="T166" s="15"/>
      <c r="U166" s="29"/>
      <c r="V166" s="29"/>
      <c r="W166" s="29"/>
    </row>
    <row r="167" spans="1:23" s="1" customFormat="1" ht="11.25" customHeight="1">
      <c r="A167" s="237" t="s">
        <v>25</v>
      </c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9"/>
      <c r="T167" s="16"/>
      <c r="U167" s="30"/>
      <c r="V167" s="30"/>
      <c r="W167" s="30"/>
    </row>
    <row r="168" spans="1:23" s="1" customFormat="1" ht="11.25" customHeight="1">
      <c r="A168" s="201">
        <v>131</v>
      </c>
      <c r="B168" s="226" t="s">
        <v>114</v>
      </c>
      <c r="C168" s="227"/>
      <c r="D168" s="202">
        <v>30</v>
      </c>
      <c r="E168" s="191">
        <f>4.6*D168/20</f>
        <v>6.9</v>
      </c>
      <c r="F168" s="203">
        <f>0.24*D168/20</f>
        <v>0.36</v>
      </c>
      <c r="G168" s="191">
        <f>10.66*D168/20</f>
        <v>15.99</v>
      </c>
      <c r="H168" s="191">
        <f>E168*4+F168*9+G168*4</f>
        <v>94.8</v>
      </c>
      <c r="I168" s="203">
        <f>0.16*D168/20</f>
        <v>0.24</v>
      </c>
      <c r="J168" s="203">
        <f>0.04*D168/20</f>
        <v>0.06</v>
      </c>
      <c r="K168" s="202">
        <v>0</v>
      </c>
      <c r="L168" s="199">
        <f>0.002*D168/20</f>
        <v>0.003</v>
      </c>
      <c r="M168" s="203">
        <f>1.82*D168/20</f>
        <v>2.73</v>
      </c>
      <c r="N168" s="200">
        <f>23*D168/20</f>
        <v>34.5</v>
      </c>
      <c r="O168" s="200">
        <f>65.8*D168/20</f>
        <v>98.7</v>
      </c>
      <c r="P168" s="191">
        <f>0.64*D168/20</f>
        <v>0.96</v>
      </c>
      <c r="Q168" s="199">
        <f>0.00102*D168/20</f>
        <v>0.0015300000000000001</v>
      </c>
      <c r="R168" s="200">
        <f>21.4*D168/20</f>
        <v>32.1</v>
      </c>
      <c r="S168" s="199">
        <f>0.004*D168/20</f>
        <v>0.006</v>
      </c>
      <c r="T168" s="16"/>
      <c r="U168" s="30"/>
      <c r="V168" s="30"/>
      <c r="W168" s="30"/>
    </row>
    <row r="169" spans="1:23" s="1" customFormat="1" ht="23.25" customHeight="1">
      <c r="A169" s="99">
        <v>71</v>
      </c>
      <c r="B169" s="224" t="s">
        <v>154</v>
      </c>
      <c r="C169" s="225"/>
      <c r="D169" s="89">
        <v>50</v>
      </c>
      <c r="E169" s="93">
        <f>0.33*D169/30</f>
        <v>0.55</v>
      </c>
      <c r="F169" s="93">
        <f>0.08*D169/40</f>
        <v>0.1</v>
      </c>
      <c r="G169" s="93">
        <f>3.8*D169/100</f>
        <v>1.9</v>
      </c>
      <c r="H169" s="93">
        <f aca="true" t="shared" si="41" ref="H169:H174">E169*4+F169*9+G169*4</f>
        <v>10.7</v>
      </c>
      <c r="I169" s="94">
        <f>0.027*D169/40</f>
        <v>0.03375</v>
      </c>
      <c r="J169" s="94">
        <f>0.032*D169/40</f>
        <v>0.04</v>
      </c>
      <c r="K169" s="93">
        <f>9.733*D169/40</f>
        <v>12.166250000000002</v>
      </c>
      <c r="L169" s="93">
        <f>0.36*D169/40</f>
        <v>0.45</v>
      </c>
      <c r="M169" s="89">
        <f>1.88*D169/40</f>
        <v>2.35</v>
      </c>
      <c r="N169" s="90">
        <f>24.4*D169/40</f>
        <v>30.5</v>
      </c>
      <c r="O169" s="90">
        <f>30.36*D169/40</f>
        <v>37.95</v>
      </c>
      <c r="P169" s="93">
        <f>0.28*D169/40</f>
        <v>0.35000000000000003</v>
      </c>
      <c r="Q169" s="94">
        <f>0.005*D169/40</f>
        <v>0.00625</v>
      </c>
      <c r="R169" s="93">
        <f>10.2*D169/40</f>
        <v>12.749999999999998</v>
      </c>
      <c r="S169" s="93">
        <f>0.4*D169/40</f>
        <v>0.5</v>
      </c>
      <c r="T169" s="16"/>
      <c r="U169" s="30"/>
      <c r="V169" s="30"/>
      <c r="W169" s="30"/>
    </row>
    <row r="170" spans="1:23" s="6" customFormat="1" ht="11.25" customHeight="1">
      <c r="A170" s="117">
        <v>15</v>
      </c>
      <c r="B170" s="231" t="s">
        <v>108</v>
      </c>
      <c r="C170" s="232"/>
      <c r="D170" s="80">
        <v>25</v>
      </c>
      <c r="E170" s="93">
        <f>2.32*D170/10</f>
        <v>5.799999999999999</v>
      </c>
      <c r="F170" s="93">
        <f>3.4*D170/10</f>
        <v>8.5</v>
      </c>
      <c r="G170" s="93">
        <f>0.01*D170/10</f>
        <v>0.025</v>
      </c>
      <c r="H170" s="93">
        <f t="shared" si="41"/>
        <v>99.79999999999998</v>
      </c>
      <c r="I170" s="93">
        <f>0.004*D170/10</f>
        <v>0.01</v>
      </c>
      <c r="J170" s="93">
        <f>0.03*D170/10</f>
        <v>0.075</v>
      </c>
      <c r="K170" s="93">
        <f>0.07*D170/10</f>
        <v>0.17500000000000002</v>
      </c>
      <c r="L170" s="94">
        <f>0.023*D170/10</f>
        <v>0.057499999999999996</v>
      </c>
      <c r="M170" s="93">
        <f>0.05*D170/10</f>
        <v>0.125</v>
      </c>
      <c r="N170" s="93">
        <f>88*D170/10</f>
        <v>220</v>
      </c>
      <c r="O170" s="93">
        <f>50*D170/10</f>
        <v>125</v>
      </c>
      <c r="P170" s="93">
        <f>0.4*D170/10</f>
        <v>1</v>
      </c>
      <c r="Q170" s="94">
        <f>0.02*D170/10</f>
        <v>0.05</v>
      </c>
      <c r="R170" s="93">
        <f>3.5*D170/10</f>
        <v>8.75</v>
      </c>
      <c r="S170" s="93">
        <f>0.13*D170/10</f>
        <v>0.325</v>
      </c>
      <c r="T170" s="21"/>
      <c r="U170" s="32"/>
      <c r="V170" s="32"/>
      <c r="W170" s="32"/>
    </row>
    <row r="171" spans="1:23" s="6" customFormat="1" ht="13.5" customHeight="1">
      <c r="A171" s="99">
        <v>210</v>
      </c>
      <c r="B171" s="231" t="s">
        <v>49</v>
      </c>
      <c r="C171" s="232"/>
      <c r="D171" s="5">
        <v>250</v>
      </c>
      <c r="E171" s="93">
        <f>16.29*D171/200</f>
        <v>20.3625</v>
      </c>
      <c r="F171" s="9">
        <f>18.99*D171/200</f>
        <v>23.7375</v>
      </c>
      <c r="G171" s="9">
        <f>5.04*D171/200</f>
        <v>6.3</v>
      </c>
      <c r="H171" s="93">
        <f t="shared" si="41"/>
        <v>320.2875</v>
      </c>
      <c r="I171" s="9">
        <f>0.117*D171/200</f>
        <v>0.14625</v>
      </c>
      <c r="J171" s="9">
        <f>0.27*D171/200</f>
        <v>0.3375</v>
      </c>
      <c r="K171" s="9">
        <f>0.324*D171/200</f>
        <v>0.405</v>
      </c>
      <c r="L171" s="9">
        <f>0.036*D171/200</f>
        <v>0.045</v>
      </c>
      <c r="M171" s="3">
        <f>1.94*D171/200</f>
        <v>2.425</v>
      </c>
      <c r="N171" s="9">
        <f>131.38*D171/200</f>
        <v>164.225</v>
      </c>
      <c r="O171" s="9">
        <f>248.5*D171/200</f>
        <v>310.625</v>
      </c>
      <c r="P171" s="9">
        <f>1.35*D171/200</f>
        <v>1.6875</v>
      </c>
      <c r="Q171" s="9">
        <f>0.03*D171/200</f>
        <v>0.0375</v>
      </c>
      <c r="R171" s="9">
        <f>21.55*D171/200</f>
        <v>26.9375</v>
      </c>
      <c r="S171" s="9">
        <f>1.51*D171/200</f>
        <v>1.8875</v>
      </c>
      <c r="T171" s="21"/>
      <c r="U171" s="32"/>
      <c r="V171" s="32"/>
      <c r="W171" s="32"/>
    </row>
    <row r="172" spans="1:23" s="92" customFormat="1" ht="11.25" customHeight="1">
      <c r="A172" s="157">
        <v>338</v>
      </c>
      <c r="B172" s="224" t="s">
        <v>157</v>
      </c>
      <c r="C172" s="225"/>
      <c r="D172" s="101">
        <v>100</v>
      </c>
      <c r="E172" s="77">
        <f>1.5*D172/100</f>
        <v>1.5</v>
      </c>
      <c r="F172" s="77">
        <f>0.5*D172/100</f>
        <v>0.5</v>
      </c>
      <c r="G172" s="77">
        <f>21*D172/100</f>
        <v>21</v>
      </c>
      <c r="H172" s="87">
        <f>E172*4+F172*9+G172*4</f>
        <v>94.5</v>
      </c>
      <c r="I172" s="77">
        <f>0.04*D172/100</f>
        <v>0.04</v>
      </c>
      <c r="J172" s="77">
        <f>0.05*D172/100</f>
        <v>0.05</v>
      </c>
      <c r="K172" s="78">
        <f>10*D172/100</f>
        <v>10</v>
      </c>
      <c r="L172" s="79">
        <f>0.02*D172/100</f>
        <v>0.02</v>
      </c>
      <c r="M172" s="79">
        <f>0.4*D172/100</f>
        <v>0.4</v>
      </c>
      <c r="N172" s="79">
        <f>8*D172/100</f>
        <v>8</v>
      </c>
      <c r="O172" s="79">
        <f>28*D172/100</f>
        <v>28</v>
      </c>
      <c r="P172" s="79">
        <f>0.15*D172/100</f>
        <v>0.15</v>
      </c>
      <c r="Q172" s="79"/>
      <c r="R172" s="79">
        <f>42*D172/100</f>
        <v>42</v>
      </c>
      <c r="S172" s="79"/>
      <c r="T172" s="95"/>
      <c r="U172" s="96"/>
      <c r="V172" s="96"/>
      <c r="W172" s="96"/>
    </row>
    <row r="173" spans="1:23" s="6" customFormat="1" ht="11.25" customHeight="1">
      <c r="A173" s="117">
        <v>376</v>
      </c>
      <c r="B173" s="234" t="s">
        <v>76</v>
      </c>
      <c r="C173" s="234"/>
      <c r="D173" s="91">
        <v>200</v>
      </c>
      <c r="E173" s="93">
        <v>0.2</v>
      </c>
      <c r="F173" s="93">
        <v>0.05</v>
      </c>
      <c r="G173" s="93">
        <v>15.01</v>
      </c>
      <c r="H173" s="93">
        <f t="shared" si="41"/>
        <v>61.29</v>
      </c>
      <c r="I173" s="91">
        <v>0</v>
      </c>
      <c r="J173" s="93">
        <v>0.01</v>
      </c>
      <c r="K173" s="93">
        <v>9</v>
      </c>
      <c r="L173" s="97">
        <v>0.0001</v>
      </c>
      <c r="M173" s="94">
        <v>0.045</v>
      </c>
      <c r="N173" s="93">
        <v>5.25</v>
      </c>
      <c r="O173" s="93">
        <v>8.24</v>
      </c>
      <c r="P173" s="94">
        <v>0.008</v>
      </c>
      <c r="Q173" s="91">
        <v>0</v>
      </c>
      <c r="R173" s="90">
        <v>4.4</v>
      </c>
      <c r="S173" s="93">
        <v>0.87</v>
      </c>
      <c r="T173" s="21"/>
      <c r="U173" s="32"/>
      <c r="V173" s="32"/>
      <c r="W173" s="32"/>
    </row>
    <row r="174" spans="1:23" s="6" customFormat="1" ht="12.75" customHeight="1">
      <c r="A174" s="117" t="s">
        <v>87</v>
      </c>
      <c r="B174" s="224" t="s">
        <v>60</v>
      </c>
      <c r="C174" s="225"/>
      <c r="D174" s="91">
        <v>40</v>
      </c>
      <c r="E174" s="93">
        <f>1.52*D174/30</f>
        <v>2.0266666666666664</v>
      </c>
      <c r="F174" s="94">
        <f>0.16*D174/30</f>
        <v>0.21333333333333335</v>
      </c>
      <c r="G174" s="94">
        <f>9.84*D174/30</f>
        <v>13.120000000000001</v>
      </c>
      <c r="H174" s="94">
        <f t="shared" si="41"/>
        <v>62.50666666666667</v>
      </c>
      <c r="I174" s="94">
        <f>0.02*D174/30</f>
        <v>0.02666666666666667</v>
      </c>
      <c r="J174" s="94">
        <f>0.01*D174/30</f>
        <v>0.013333333333333334</v>
      </c>
      <c r="K174" s="94">
        <f>0.44*D174/30</f>
        <v>0.5866666666666667</v>
      </c>
      <c r="L174" s="94">
        <v>0</v>
      </c>
      <c r="M174" s="94">
        <f>0.7*D174/30</f>
        <v>0.9333333333333333</v>
      </c>
      <c r="N174" s="94">
        <f>4*D174/30</f>
        <v>5.333333333333333</v>
      </c>
      <c r="O174" s="94">
        <f>13*D174/30</f>
        <v>17.333333333333332</v>
      </c>
      <c r="P174" s="94">
        <f>0.008*D174/30</f>
        <v>0.010666666666666666</v>
      </c>
      <c r="Q174" s="94">
        <f>0.001*D174/30</f>
        <v>0.0013333333333333333</v>
      </c>
      <c r="R174" s="94">
        <v>0</v>
      </c>
      <c r="S174" s="94">
        <f>0.22*D174/30</f>
        <v>0.29333333333333333</v>
      </c>
      <c r="T174" s="21"/>
      <c r="U174" s="32"/>
      <c r="V174" s="32"/>
      <c r="W174" s="32"/>
    </row>
    <row r="175" spans="1:23" s="6" customFormat="1" ht="11.25" customHeight="1">
      <c r="A175" s="155" t="s">
        <v>26</v>
      </c>
      <c r="B175" s="84"/>
      <c r="C175" s="84"/>
      <c r="D175" s="189">
        <f>SUM(D169:D174)</f>
        <v>665</v>
      </c>
      <c r="E175" s="50">
        <f aca="true" t="shared" si="42" ref="E175:S175">SUM(E169:E174)</f>
        <v>30.439166666666665</v>
      </c>
      <c r="F175" s="49">
        <f t="shared" si="42"/>
        <v>33.10083333333333</v>
      </c>
      <c r="G175" s="49">
        <f t="shared" si="42"/>
        <v>57.355000000000004</v>
      </c>
      <c r="H175" s="49">
        <f t="shared" si="42"/>
        <v>649.0841666666666</v>
      </c>
      <c r="I175" s="49">
        <f t="shared" si="42"/>
        <v>0.25666666666666665</v>
      </c>
      <c r="J175" s="49">
        <f t="shared" si="42"/>
        <v>0.5258333333333334</v>
      </c>
      <c r="K175" s="49">
        <f t="shared" si="42"/>
        <v>32.33291666666667</v>
      </c>
      <c r="L175" s="49">
        <f t="shared" si="42"/>
        <v>0.5726000000000001</v>
      </c>
      <c r="M175" s="51">
        <f t="shared" si="42"/>
        <v>6.278333333333334</v>
      </c>
      <c r="N175" s="49">
        <f t="shared" si="42"/>
        <v>433.30833333333334</v>
      </c>
      <c r="O175" s="62">
        <f t="shared" si="42"/>
        <v>527.1483333333333</v>
      </c>
      <c r="P175" s="50">
        <f t="shared" si="42"/>
        <v>3.206166666666667</v>
      </c>
      <c r="Q175" s="51">
        <f t="shared" si="42"/>
        <v>0.09508333333333334</v>
      </c>
      <c r="R175" s="49">
        <f t="shared" si="42"/>
        <v>94.8375</v>
      </c>
      <c r="S175" s="50">
        <f t="shared" si="42"/>
        <v>3.8758333333333335</v>
      </c>
      <c r="T175" s="49"/>
      <c r="U175" s="52"/>
      <c r="V175" s="52"/>
      <c r="W175" s="52"/>
    </row>
    <row r="176" spans="1:23" s="6" customFormat="1" ht="11.25" customHeight="1">
      <c r="A176" s="228" t="s">
        <v>73</v>
      </c>
      <c r="B176" s="229"/>
      <c r="C176" s="229"/>
      <c r="D176" s="230"/>
      <c r="E176" s="126">
        <f aca="true" t="shared" si="43" ref="E176:S176">E175/E194</f>
        <v>0.33821296296296294</v>
      </c>
      <c r="F176" s="67">
        <f t="shared" si="43"/>
        <v>0.3597916666666666</v>
      </c>
      <c r="G176" s="67">
        <f t="shared" si="43"/>
        <v>0.1497519582245431</v>
      </c>
      <c r="H176" s="67">
        <f t="shared" si="43"/>
        <v>0.23863388480392156</v>
      </c>
      <c r="I176" s="67">
        <f t="shared" si="43"/>
        <v>0.18333333333333335</v>
      </c>
      <c r="J176" s="67">
        <f t="shared" si="43"/>
        <v>0.32864583333333336</v>
      </c>
      <c r="K176" s="67">
        <f t="shared" si="43"/>
        <v>0.4618988095238096</v>
      </c>
      <c r="L176" s="67">
        <f t="shared" si="43"/>
        <v>0.6362222222222224</v>
      </c>
      <c r="M176" s="67">
        <f t="shared" si="43"/>
        <v>0.5231944444444445</v>
      </c>
      <c r="N176" s="67">
        <f t="shared" si="43"/>
        <v>0.3610902777777778</v>
      </c>
      <c r="O176" s="67">
        <f t="shared" si="43"/>
        <v>0.43929027777777774</v>
      </c>
      <c r="P176" s="67">
        <f t="shared" si="43"/>
        <v>0.22901190476190478</v>
      </c>
      <c r="Q176" s="67">
        <f t="shared" si="43"/>
        <v>0.9508333333333333</v>
      </c>
      <c r="R176" s="67">
        <f t="shared" si="43"/>
        <v>0.31612500000000004</v>
      </c>
      <c r="S176" s="55">
        <f t="shared" si="43"/>
        <v>0.21532407407407408</v>
      </c>
      <c r="T176" s="61"/>
      <c r="U176" s="52"/>
      <c r="V176" s="52"/>
      <c r="W176" s="52"/>
    </row>
    <row r="177" spans="1:23" s="92" customFormat="1" ht="11.25" customHeight="1">
      <c r="A177" s="154" t="s">
        <v>107</v>
      </c>
      <c r="B177" s="109"/>
      <c r="C177" s="109"/>
      <c r="D177" s="148"/>
      <c r="E177" s="50">
        <f>E168+E170+E171+E172+E173+E174</f>
        <v>36.78916666666667</v>
      </c>
      <c r="F177" s="50">
        <f aca="true" t="shared" si="44" ref="F177:S177">F168+F170+F171+F172+F173+F174</f>
        <v>33.360833333333325</v>
      </c>
      <c r="G177" s="50">
        <f t="shared" si="44"/>
        <v>71.445</v>
      </c>
      <c r="H177" s="50">
        <f t="shared" si="44"/>
        <v>733.1841666666667</v>
      </c>
      <c r="I177" s="50">
        <f t="shared" si="44"/>
        <v>0.46291666666666664</v>
      </c>
      <c r="J177" s="50">
        <f t="shared" si="44"/>
        <v>0.5458333333333334</v>
      </c>
      <c r="K177" s="50">
        <f t="shared" si="44"/>
        <v>20.166666666666664</v>
      </c>
      <c r="L177" s="50">
        <f t="shared" si="44"/>
        <v>0.1256</v>
      </c>
      <c r="M177" s="50">
        <f t="shared" si="44"/>
        <v>6.658333333333333</v>
      </c>
      <c r="N177" s="50">
        <f t="shared" si="44"/>
        <v>437.30833333333334</v>
      </c>
      <c r="O177" s="50">
        <f t="shared" si="44"/>
        <v>587.8983333333334</v>
      </c>
      <c r="P177" s="50">
        <f t="shared" si="44"/>
        <v>3.8161666666666667</v>
      </c>
      <c r="Q177" s="50">
        <f t="shared" si="44"/>
        <v>0.09036333333333334</v>
      </c>
      <c r="R177" s="50">
        <f t="shared" si="44"/>
        <v>114.1875</v>
      </c>
      <c r="S177" s="50">
        <f t="shared" si="44"/>
        <v>3.3818333333333337</v>
      </c>
      <c r="T177" s="61"/>
      <c r="U177" s="52"/>
      <c r="V177" s="52"/>
      <c r="W177" s="52"/>
    </row>
    <row r="178" spans="1:23" s="6" customFormat="1" ht="11.25" customHeight="1">
      <c r="A178" s="237" t="s">
        <v>27</v>
      </c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9"/>
      <c r="T178" s="16"/>
      <c r="U178" s="30"/>
      <c r="V178" s="30"/>
      <c r="W178" s="30"/>
    </row>
    <row r="179" spans="1:23" s="6" customFormat="1" ht="15" customHeight="1">
      <c r="A179" s="99">
        <v>52</v>
      </c>
      <c r="B179" s="231" t="s">
        <v>61</v>
      </c>
      <c r="C179" s="232"/>
      <c r="D179" s="91">
        <v>100</v>
      </c>
      <c r="E179" s="93">
        <f>0.86*D179/60</f>
        <v>1.4333333333333333</v>
      </c>
      <c r="F179" s="93">
        <f>3.05*D179/60</f>
        <v>5.083333333333333</v>
      </c>
      <c r="G179" s="93">
        <f>5.13*D179/60</f>
        <v>8.55</v>
      </c>
      <c r="H179" s="93">
        <f>E179*4+F179*9+G179*4</f>
        <v>85.68333333333334</v>
      </c>
      <c r="I179" s="93">
        <f>0.01*D179/60</f>
        <v>0.016666666666666666</v>
      </c>
      <c r="J179" s="93">
        <f>0.02*D179/60</f>
        <v>0.03333333333333333</v>
      </c>
      <c r="K179" s="90">
        <f>5.7*D179/60</f>
        <v>9.5</v>
      </c>
      <c r="L179" s="93">
        <f>0.01*D179/60</f>
        <v>0.016666666666666666</v>
      </c>
      <c r="M179" s="93">
        <f>0.1*D179/60</f>
        <v>0.16666666666666666</v>
      </c>
      <c r="N179" s="93">
        <f>26.61*D179/60</f>
        <v>44.35</v>
      </c>
      <c r="O179" s="93">
        <f>25.64*D179/60</f>
        <v>42.733333333333334</v>
      </c>
      <c r="P179" s="93">
        <f>0.43*D179/60</f>
        <v>0.7166666666666667</v>
      </c>
      <c r="Q179" s="94">
        <f>0.01*D179/60</f>
        <v>0.016666666666666666</v>
      </c>
      <c r="R179" s="90">
        <f>12.87*D179/60</f>
        <v>21.45</v>
      </c>
      <c r="S179" s="93">
        <f>0.84*D179/60</f>
        <v>1.4</v>
      </c>
      <c r="T179" s="21"/>
      <c r="U179" s="32"/>
      <c r="V179" s="32"/>
      <c r="W179" s="32"/>
    </row>
    <row r="180" spans="1:23" s="92" customFormat="1" ht="15.75" customHeight="1">
      <c r="A180" s="117">
        <v>106</v>
      </c>
      <c r="B180" s="285" t="s">
        <v>121</v>
      </c>
      <c r="C180" s="286"/>
      <c r="D180" s="89" t="s">
        <v>144</v>
      </c>
      <c r="E180" s="93">
        <v>14.5</v>
      </c>
      <c r="F180" s="93">
        <v>15.4</v>
      </c>
      <c r="G180" s="93">
        <v>33.1</v>
      </c>
      <c r="H180" s="93">
        <f aca="true" t="shared" si="45" ref="H180:H185">E180*4+F180*9+G180*4</f>
        <v>329</v>
      </c>
      <c r="I180" s="93">
        <v>0.21</v>
      </c>
      <c r="J180" s="93">
        <v>0.15</v>
      </c>
      <c r="K180" s="93">
        <v>0.407</v>
      </c>
      <c r="L180" s="93">
        <v>0.024</v>
      </c>
      <c r="M180" s="94">
        <v>0.067</v>
      </c>
      <c r="N180" s="93">
        <v>42.66</v>
      </c>
      <c r="O180" s="93">
        <v>161</v>
      </c>
      <c r="P180" s="93">
        <v>1.88</v>
      </c>
      <c r="Q180" s="93">
        <v>0.05</v>
      </c>
      <c r="R180" s="93">
        <v>24.6</v>
      </c>
      <c r="S180" s="93">
        <v>1.77</v>
      </c>
      <c r="T180" s="95"/>
      <c r="U180" s="96"/>
      <c r="V180" s="96"/>
      <c r="W180" s="96"/>
    </row>
    <row r="181" spans="1:23" s="6" customFormat="1" ht="12.75" customHeight="1">
      <c r="A181" s="117">
        <v>295</v>
      </c>
      <c r="B181" s="233" t="s">
        <v>116</v>
      </c>
      <c r="C181" s="233"/>
      <c r="D181" s="89">
        <v>100</v>
      </c>
      <c r="E181" s="93">
        <f>15.24*D181/100</f>
        <v>15.24</v>
      </c>
      <c r="F181" s="90">
        <f>5.8*D181/100</f>
        <v>5.8</v>
      </c>
      <c r="G181" s="90">
        <f>10.16*D181/100</f>
        <v>10.16</v>
      </c>
      <c r="H181" s="93">
        <f t="shared" si="45"/>
        <v>153.8</v>
      </c>
      <c r="I181" s="89">
        <f>0.09*D181/100</f>
        <v>0.09</v>
      </c>
      <c r="J181" s="93">
        <f>0.08*D181/100</f>
        <v>0.08</v>
      </c>
      <c r="K181" s="93">
        <f>0.24*D181/100</f>
        <v>0.24</v>
      </c>
      <c r="L181" s="89">
        <f>0.001*D181/100</f>
        <v>0.001</v>
      </c>
      <c r="M181" s="89">
        <f>0.074*D181/100</f>
        <v>0.074</v>
      </c>
      <c r="N181" s="90">
        <f>14.03*D181/100</f>
        <v>14.03</v>
      </c>
      <c r="O181" s="90">
        <f>93.98*D181/100</f>
        <v>93.98</v>
      </c>
      <c r="P181" s="93">
        <f>1.17*D181/100</f>
        <v>1.17</v>
      </c>
      <c r="Q181" s="94">
        <f>0.04*D181/100</f>
        <v>0.04</v>
      </c>
      <c r="R181" s="90">
        <f>16.24*D181/100</f>
        <v>16.24</v>
      </c>
      <c r="S181" s="93">
        <f>D181*1.89/100</f>
        <v>1.89</v>
      </c>
      <c r="T181" s="21"/>
      <c r="U181" s="32"/>
      <c r="V181" s="32"/>
      <c r="W181" s="32"/>
    </row>
    <row r="182" spans="1:23" s="6" customFormat="1" ht="15.75" customHeight="1">
      <c r="A182" s="99">
        <v>139</v>
      </c>
      <c r="B182" s="231" t="s">
        <v>92</v>
      </c>
      <c r="C182" s="232"/>
      <c r="D182" s="91">
        <v>180</v>
      </c>
      <c r="E182" s="93">
        <f>2.77*D182/150</f>
        <v>3.3240000000000003</v>
      </c>
      <c r="F182" s="93">
        <f>4.84*D182/150</f>
        <v>5.808</v>
      </c>
      <c r="G182" s="93">
        <f>10.78*D182/150</f>
        <v>12.936</v>
      </c>
      <c r="H182" s="93">
        <f t="shared" si="45"/>
        <v>117.312</v>
      </c>
      <c r="I182" s="93">
        <f>0.77*D182/180</f>
        <v>0.77</v>
      </c>
      <c r="J182" s="93">
        <f>0.16*D182/180</f>
        <v>0.16</v>
      </c>
      <c r="K182" s="89">
        <v>0.16</v>
      </c>
      <c r="L182" s="89">
        <f>0.03*D182/180</f>
        <v>0.029999999999999995</v>
      </c>
      <c r="M182" s="94">
        <v>0.01</v>
      </c>
      <c r="N182" s="93">
        <f>73.05*D182/150</f>
        <v>87.66</v>
      </c>
      <c r="O182" s="93">
        <f>54*D182/150</f>
        <v>64.8</v>
      </c>
      <c r="P182" s="90">
        <v>3.5</v>
      </c>
      <c r="Q182" s="94">
        <v>0.017</v>
      </c>
      <c r="R182" s="93">
        <f>27.75*D182/150</f>
        <v>33.3</v>
      </c>
      <c r="S182" s="93">
        <f>1.09*D182/150</f>
        <v>1.308</v>
      </c>
      <c r="T182" s="21"/>
      <c r="U182" s="32"/>
      <c r="V182" s="32"/>
      <c r="W182" s="32"/>
    </row>
    <row r="183" spans="1:23" s="6" customFormat="1" ht="10.5" customHeight="1">
      <c r="A183" s="99">
        <v>389</v>
      </c>
      <c r="B183" s="231" t="s">
        <v>125</v>
      </c>
      <c r="C183" s="232"/>
      <c r="D183" s="91">
        <v>200</v>
      </c>
      <c r="E183" s="93">
        <v>1</v>
      </c>
      <c r="F183" s="93">
        <v>0.2</v>
      </c>
      <c r="G183" s="93">
        <v>20.2</v>
      </c>
      <c r="H183" s="93">
        <f t="shared" si="45"/>
        <v>86.6</v>
      </c>
      <c r="I183" s="89">
        <v>0.02</v>
      </c>
      <c r="J183" s="89">
        <v>0.02</v>
      </c>
      <c r="K183" s="90">
        <v>4.8</v>
      </c>
      <c r="L183" s="89">
        <v>0</v>
      </c>
      <c r="M183" s="89">
        <v>0</v>
      </c>
      <c r="N183" s="90">
        <v>14</v>
      </c>
      <c r="O183" s="90">
        <v>18</v>
      </c>
      <c r="P183" s="90">
        <v>0.03</v>
      </c>
      <c r="Q183" s="90">
        <v>0</v>
      </c>
      <c r="R183" s="90">
        <v>8</v>
      </c>
      <c r="S183" s="93">
        <v>0.72</v>
      </c>
      <c r="T183" s="21"/>
      <c r="U183" s="32"/>
      <c r="V183" s="32"/>
      <c r="W183" s="32"/>
    </row>
    <row r="184" spans="1:23" s="6" customFormat="1" ht="11.25" customHeight="1">
      <c r="A184" s="99" t="s">
        <v>87</v>
      </c>
      <c r="B184" s="231" t="s">
        <v>47</v>
      </c>
      <c r="C184" s="232"/>
      <c r="D184" s="91">
        <v>40</v>
      </c>
      <c r="E184" s="93">
        <f>2.64*D184/40</f>
        <v>2.64</v>
      </c>
      <c r="F184" s="93">
        <f>0.48*D184/40</f>
        <v>0.48</v>
      </c>
      <c r="G184" s="93">
        <f>13.68*D184/40</f>
        <v>13.680000000000001</v>
      </c>
      <c r="H184" s="90">
        <f t="shared" si="45"/>
        <v>69.60000000000001</v>
      </c>
      <c r="I184" s="89">
        <f>0.08*D184/40</f>
        <v>0.08</v>
      </c>
      <c r="J184" s="93">
        <f>0.04*D184/40</f>
        <v>0.04</v>
      </c>
      <c r="K184" s="91">
        <v>0</v>
      </c>
      <c r="L184" s="91">
        <v>0</v>
      </c>
      <c r="M184" s="93">
        <f>2.4*D184/100</f>
        <v>0.96</v>
      </c>
      <c r="N184" s="93">
        <f>14*D184/40</f>
        <v>14</v>
      </c>
      <c r="O184" s="93">
        <f>63.2*D184/40</f>
        <v>63.2</v>
      </c>
      <c r="P184" s="93">
        <f>1.2*D184/40</f>
        <v>1.2</v>
      </c>
      <c r="Q184" s="94">
        <f>0.001*D184/40</f>
        <v>0.001</v>
      </c>
      <c r="R184" s="93">
        <f>9.4*D184/40</f>
        <v>9.4</v>
      </c>
      <c r="S184" s="89">
        <f>0.78*D184/40</f>
        <v>0.78</v>
      </c>
      <c r="T184" s="38"/>
      <c r="U184" s="39"/>
      <c r="V184" s="39"/>
      <c r="W184" s="39"/>
    </row>
    <row r="185" spans="1:23" s="6" customFormat="1" ht="11.25" customHeight="1">
      <c r="A185" s="99" t="s">
        <v>87</v>
      </c>
      <c r="B185" s="231" t="s">
        <v>60</v>
      </c>
      <c r="C185" s="232"/>
      <c r="D185" s="91">
        <v>40</v>
      </c>
      <c r="E185" s="93">
        <f>1.52*D185/30</f>
        <v>2.0266666666666664</v>
      </c>
      <c r="F185" s="94">
        <f>0.16*D185/30</f>
        <v>0.21333333333333335</v>
      </c>
      <c r="G185" s="94">
        <f>9.84*D185/30</f>
        <v>13.120000000000001</v>
      </c>
      <c r="H185" s="94">
        <f t="shared" si="45"/>
        <v>62.50666666666667</v>
      </c>
      <c r="I185" s="94">
        <f>0.02*D185/30</f>
        <v>0.02666666666666667</v>
      </c>
      <c r="J185" s="94">
        <f>0.01*D185/30</f>
        <v>0.013333333333333334</v>
      </c>
      <c r="K185" s="94">
        <f>0.44*D185/30</f>
        <v>0.5866666666666667</v>
      </c>
      <c r="L185" s="94">
        <v>0</v>
      </c>
      <c r="M185" s="94">
        <f>0.7*D185/30</f>
        <v>0.9333333333333333</v>
      </c>
      <c r="N185" s="94">
        <f>4*D185/30</f>
        <v>5.333333333333333</v>
      </c>
      <c r="O185" s="94">
        <f>13*D185/30</f>
        <v>17.333333333333332</v>
      </c>
      <c r="P185" s="94">
        <f>0.008*D185/30</f>
        <v>0.010666666666666666</v>
      </c>
      <c r="Q185" s="94">
        <f>0.001*D185/30</f>
        <v>0.0013333333333333333</v>
      </c>
      <c r="R185" s="94">
        <v>0</v>
      </c>
      <c r="S185" s="94">
        <f>0.22*D185/30</f>
        <v>0.29333333333333333</v>
      </c>
      <c r="T185" s="21"/>
      <c r="U185" s="32"/>
      <c r="V185" s="32"/>
      <c r="W185" s="32"/>
    </row>
    <row r="186" spans="1:23" s="6" customFormat="1" ht="11.25" customHeight="1">
      <c r="A186" s="155" t="s">
        <v>28</v>
      </c>
      <c r="B186" s="84"/>
      <c r="C186" s="84"/>
      <c r="D186" s="180">
        <v>920</v>
      </c>
      <c r="E186" s="50">
        <f>SUM(E179:E185)</f>
        <v>40.163999999999994</v>
      </c>
      <c r="F186" s="49">
        <f>SUM(F179:F185)</f>
        <v>32.98466666666667</v>
      </c>
      <c r="G186" s="49">
        <f>SUM(G179:G185)</f>
        <v>111.74600000000002</v>
      </c>
      <c r="H186" s="49">
        <f>SUM(H179:H185)</f>
        <v>904.5020000000001</v>
      </c>
      <c r="I186" s="50">
        <f aca="true" t="shared" si="46" ref="I186:S186">SUM(I179:I185)</f>
        <v>1.2133333333333334</v>
      </c>
      <c r="J186" s="50">
        <f t="shared" si="46"/>
        <v>0.49666666666666665</v>
      </c>
      <c r="K186" s="49">
        <f t="shared" si="46"/>
        <v>15.693666666666665</v>
      </c>
      <c r="L186" s="50">
        <f t="shared" si="46"/>
        <v>0.07166666666666667</v>
      </c>
      <c r="M186" s="51">
        <f t="shared" si="46"/>
        <v>2.2110000000000003</v>
      </c>
      <c r="N186" s="50">
        <f t="shared" si="46"/>
        <v>222.03333333333333</v>
      </c>
      <c r="O186" s="49">
        <f t="shared" si="46"/>
        <v>461.0466666666667</v>
      </c>
      <c r="P186" s="49">
        <f t="shared" si="46"/>
        <v>8.507333333333333</v>
      </c>
      <c r="Q186" s="50">
        <f t="shared" si="46"/>
        <v>0.126</v>
      </c>
      <c r="R186" s="49">
        <f t="shared" si="46"/>
        <v>112.99</v>
      </c>
      <c r="S186" s="50">
        <f t="shared" si="46"/>
        <v>8.161333333333333</v>
      </c>
      <c r="T186" s="49"/>
      <c r="U186" s="52"/>
      <c r="V186" s="52"/>
      <c r="W186" s="52"/>
    </row>
    <row r="187" spans="1:23" s="6" customFormat="1" ht="11.25" customHeight="1">
      <c r="A187" s="228" t="s">
        <v>73</v>
      </c>
      <c r="B187" s="229"/>
      <c r="C187" s="229"/>
      <c r="D187" s="230"/>
      <c r="E187" s="126">
        <f>E186/E194</f>
        <v>0.4462666666666666</v>
      </c>
      <c r="F187" s="67">
        <f aca="true" t="shared" si="47" ref="F187:S187">F186/F194</f>
        <v>0.3585289855072464</v>
      </c>
      <c r="G187" s="67">
        <f t="shared" si="47"/>
        <v>0.2917650130548303</v>
      </c>
      <c r="H187" s="67">
        <f t="shared" si="47"/>
        <v>0.33253750000000004</v>
      </c>
      <c r="I187" s="67">
        <f t="shared" si="47"/>
        <v>0.8666666666666667</v>
      </c>
      <c r="J187" s="67">
        <f t="shared" si="47"/>
        <v>0.3104166666666666</v>
      </c>
      <c r="K187" s="67">
        <f t="shared" si="47"/>
        <v>0.2241952380952381</v>
      </c>
      <c r="L187" s="67">
        <f t="shared" si="47"/>
        <v>0.07962962962962963</v>
      </c>
      <c r="M187" s="67">
        <f t="shared" si="47"/>
        <v>0.18425000000000002</v>
      </c>
      <c r="N187" s="67">
        <f t="shared" si="47"/>
        <v>0.18502777777777776</v>
      </c>
      <c r="O187" s="67">
        <f t="shared" si="47"/>
        <v>0.3842055555555556</v>
      </c>
      <c r="P187" s="67">
        <f t="shared" si="47"/>
        <v>0.6076666666666667</v>
      </c>
      <c r="Q187" s="67">
        <f t="shared" si="47"/>
        <v>1.26</v>
      </c>
      <c r="R187" s="67">
        <f t="shared" si="47"/>
        <v>0.3766333333333333</v>
      </c>
      <c r="S187" s="55">
        <f t="shared" si="47"/>
        <v>0.4534074074074074</v>
      </c>
      <c r="T187" s="61"/>
      <c r="U187" s="52"/>
      <c r="V187" s="52"/>
      <c r="W187" s="52"/>
    </row>
    <row r="188" spans="1:23" s="6" customFormat="1" ht="11.25" customHeight="1">
      <c r="A188" s="237" t="s">
        <v>29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9"/>
      <c r="T188" s="16"/>
      <c r="U188" s="30"/>
      <c r="V188" s="30"/>
      <c r="W188" s="30"/>
    </row>
    <row r="189" spans="1:23" s="6" customFormat="1" ht="12" customHeight="1">
      <c r="A189" s="99">
        <v>403</v>
      </c>
      <c r="B189" s="231" t="s">
        <v>96</v>
      </c>
      <c r="C189" s="232"/>
      <c r="D189" s="5">
        <v>150</v>
      </c>
      <c r="E189" s="93">
        <f>10.7*D189/165</f>
        <v>9.727272727272727</v>
      </c>
      <c r="F189" s="4">
        <f>11.23*D189/165</f>
        <v>10.209090909090909</v>
      </c>
      <c r="G189" s="4">
        <f>68.44*D189/165</f>
        <v>62.21818181818182</v>
      </c>
      <c r="H189" s="93">
        <f>E189*4+F189*9+G189*4</f>
        <v>379.66363636363633</v>
      </c>
      <c r="I189" s="9">
        <v>0.138</v>
      </c>
      <c r="J189" s="9">
        <v>0.15</v>
      </c>
      <c r="K189" s="9">
        <f>1.61*D189/165</f>
        <v>1.4636363636363638</v>
      </c>
      <c r="L189" s="3">
        <v>0.075</v>
      </c>
      <c r="M189" s="4">
        <v>1.5</v>
      </c>
      <c r="N189" s="9">
        <f>119*D189/165</f>
        <v>108.18181818181819</v>
      </c>
      <c r="O189" s="9">
        <v>87.25</v>
      </c>
      <c r="P189" s="9">
        <v>2.125</v>
      </c>
      <c r="Q189" s="12">
        <v>0.013</v>
      </c>
      <c r="R189" s="9">
        <f>47.7*D189/165</f>
        <v>43.36363636363637</v>
      </c>
      <c r="S189" s="9">
        <f>2.3*D189/165</f>
        <v>2.090909090909091</v>
      </c>
      <c r="T189" s="21"/>
      <c r="U189" s="32"/>
      <c r="V189" s="32"/>
      <c r="W189" s="32"/>
    </row>
    <row r="190" spans="1:23" s="6" customFormat="1" ht="23.25" customHeight="1">
      <c r="A190" s="99">
        <v>349</v>
      </c>
      <c r="B190" s="224" t="s">
        <v>51</v>
      </c>
      <c r="C190" s="225"/>
      <c r="D190" s="91">
        <v>200</v>
      </c>
      <c r="E190" s="93">
        <v>0.22</v>
      </c>
      <c r="F190" s="89"/>
      <c r="G190" s="93">
        <v>24.42</v>
      </c>
      <c r="H190" s="93">
        <f>E190*4+F190*9+G190*4</f>
        <v>98.56</v>
      </c>
      <c r="I190" s="89"/>
      <c r="J190" s="89"/>
      <c r="K190" s="93">
        <v>26.11</v>
      </c>
      <c r="L190" s="89"/>
      <c r="M190" s="89"/>
      <c r="N190" s="90">
        <v>22.6</v>
      </c>
      <c r="O190" s="90">
        <v>7.7</v>
      </c>
      <c r="P190" s="91">
        <v>0</v>
      </c>
      <c r="Q190" s="91">
        <v>0</v>
      </c>
      <c r="R190" s="90">
        <v>3</v>
      </c>
      <c r="S190" s="93">
        <v>0.66</v>
      </c>
      <c r="T190" s="21"/>
      <c r="U190" s="32"/>
      <c r="V190" s="32"/>
      <c r="W190" s="32"/>
    </row>
    <row r="191" spans="1:23" s="1" customFormat="1" ht="11.25" customHeight="1">
      <c r="A191" s="155" t="s">
        <v>30</v>
      </c>
      <c r="B191" s="84"/>
      <c r="C191" s="84"/>
      <c r="D191" s="171">
        <f>SUM(D189:D190)</f>
        <v>350</v>
      </c>
      <c r="E191" s="50">
        <f>SUM(E189:E190)</f>
        <v>9.947272727272727</v>
      </c>
      <c r="F191" s="49">
        <f>SUM(F189:F190)</f>
        <v>10.209090909090909</v>
      </c>
      <c r="G191" s="49">
        <f>SUM(G189:G190)</f>
        <v>86.63818181818182</v>
      </c>
      <c r="H191" s="49">
        <f>SUM(H189:H190)</f>
        <v>478.22363636363633</v>
      </c>
      <c r="I191" s="50">
        <f aca="true" t="shared" si="48" ref="I191:S191">SUM(I189:I190)</f>
        <v>0.138</v>
      </c>
      <c r="J191" s="50">
        <f t="shared" si="48"/>
        <v>0.15</v>
      </c>
      <c r="K191" s="50">
        <f t="shared" si="48"/>
        <v>27.573636363636364</v>
      </c>
      <c r="L191" s="50">
        <f t="shared" si="48"/>
        <v>0.075</v>
      </c>
      <c r="M191" s="51">
        <f t="shared" si="48"/>
        <v>1.5</v>
      </c>
      <c r="N191" s="50">
        <f t="shared" si="48"/>
        <v>130.78181818181818</v>
      </c>
      <c r="O191" s="50">
        <f t="shared" si="48"/>
        <v>94.95</v>
      </c>
      <c r="P191" s="50">
        <f t="shared" si="48"/>
        <v>2.125</v>
      </c>
      <c r="Q191" s="50">
        <f t="shared" si="48"/>
        <v>0.013</v>
      </c>
      <c r="R191" s="50">
        <f t="shared" si="48"/>
        <v>46.36363636363637</v>
      </c>
      <c r="S191" s="50">
        <f t="shared" si="48"/>
        <v>2.750909090909091</v>
      </c>
      <c r="T191" s="49"/>
      <c r="U191" s="52"/>
      <c r="V191" s="52"/>
      <c r="W191" s="52"/>
    </row>
    <row r="192" spans="1:23" s="1" customFormat="1" ht="11.25" customHeight="1">
      <c r="A192" s="228" t="s">
        <v>73</v>
      </c>
      <c r="B192" s="229"/>
      <c r="C192" s="229"/>
      <c r="D192" s="230"/>
      <c r="E192" s="50">
        <f>E191/E194</f>
        <v>0.11052525252525253</v>
      </c>
      <c r="F192" s="55">
        <f aca="true" t="shared" si="49" ref="F192:S192">F191/F194</f>
        <v>0.11096837944664031</v>
      </c>
      <c r="G192" s="55">
        <f t="shared" si="49"/>
        <v>0.22620935200569667</v>
      </c>
      <c r="H192" s="55">
        <f t="shared" si="49"/>
        <v>0.17581751336898394</v>
      </c>
      <c r="I192" s="55">
        <f t="shared" si="49"/>
        <v>0.09857142857142859</v>
      </c>
      <c r="J192" s="55">
        <f t="shared" si="49"/>
        <v>0.09374999999999999</v>
      </c>
      <c r="K192" s="55">
        <f t="shared" si="49"/>
        <v>0.39390909090909093</v>
      </c>
      <c r="L192" s="55">
        <f t="shared" si="49"/>
        <v>0.08333333333333333</v>
      </c>
      <c r="M192" s="55">
        <f t="shared" si="49"/>
        <v>0.125</v>
      </c>
      <c r="N192" s="55">
        <f t="shared" si="49"/>
        <v>0.10898484848484849</v>
      </c>
      <c r="O192" s="55">
        <f t="shared" si="49"/>
        <v>0.079125</v>
      </c>
      <c r="P192" s="55">
        <f t="shared" si="49"/>
        <v>0.15178571428571427</v>
      </c>
      <c r="Q192" s="55">
        <f t="shared" si="49"/>
        <v>0.12999999999999998</v>
      </c>
      <c r="R192" s="55">
        <f t="shared" si="49"/>
        <v>0.15454545454545457</v>
      </c>
      <c r="S192" s="55">
        <f t="shared" si="49"/>
        <v>0.15282828282828284</v>
      </c>
      <c r="T192" s="61"/>
      <c r="U192" s="52"/>
      <c r="V192" s="52"/>
      <c r="W192" s="52"/>
    </row>
    <row r="193" spans="1:23" s="1" customFormat="1" ht="11.25" customHeight="1">
      <c r="A193" s="246" t="s">
        <v>72</v>
      </c>
      <c r="B193" s="247"/>
      <c r="C193" s="247"/>
      <c r="D193" s="248"/>
      <c r="E193" s="50">
        <f aca="true" t="shared" si="50" ref="E193:S193">SUM(E175,E186,E191)</f>
        <v>80.55043939393939</v>
      </c>
      <c r="F193" s="49">
        <f t="shared" si="50"/>
        <v>76.2945909090909</v>
      </c>
      <c r="G193" s="49">
        <f t="shared" si="50"/>
        <v>255.73918181818186</v>
      </c>
      <c r="H193" s="49">
        <f t="shared" si="50"/>
        <v>2031.809803030303</v>
      </c>
      <c r="I193" s="50">
        <f t="shared" si="50"/>
        <v>1.608</v>
      </c>
      <c r="J193" s="50">
        <f t="shared" si="50"/>
        <v>1.1724999999999999</v>
      </c>
      <c r="K193" s="49">
        <f t="shared" si="50"/>
        <v>75.6002196969697</v>
      </c>
      <c r="L193" s="50">
        <f t="shared" si="50"/>
        <v>0.7192666666666667</v>
      </c>
      <c r="M193" s="50">
        <f t="shared" si="50"/>
        <v>9.989333333333335</v>
      </c>
      <c r="N193" s="49">
        <f t="shared" si="50"/>
        <v>786.1234848484848</v>
      </c>
      <c r="O193" s="49">
        <f t="shared" si="50"/>
        <v>1083.145</v>
      </c>
      <c r="P193" s="50">
        <f t="shared" si="50"/>
        <v>13.8385</v>
      </c>
      <c r="Q193" s="51">
        <f t="shared" si="50"/>
        <v>0.23408333333333337</v>
      </c>
      <c r="R193" s="50">
        <f t="shared" si="50"/>
        <v>254.19113636363636</v>
      </c>
      <c r="S193" s="50">
        <f t="shared" si="50"/>
        <v>14.788075757575758</v>
      </c>
      <c r="T193" s="53"/>
      <c r="U193" s="52"/>
      <c r="V193" s="52"/>
      <c r="W193" s="52"/>
    </row>
    <row r="194" spans="1:23" s="1" customFormat="1" ht="11.25" customHeight="1">
      <c r="A194" s="246" t="s">
        <v>74</v>
      </c>
      <c r="B194" s="247"/>
      <c r="C194" s="247"/>
      <c r="D194" s="248"/>
      <c r="E194" s="93">
        <v>90</v>
      </c>
      <c r="F194" s="90">
        <v>92</v>
      </c>
      <c r="G194" s="90">
        <v>383</v>
      </c>
      <c r="H194" s="90">
        <v>2720</v>
      </c>
      <c r="I194" s="93">
        <v>1.4</v>
      </c>
      <c r="J194" s="93">
        <v>1.6</v>
      </c>
      <c r="K194" s="91">
        <v>70</v>
      </c>
      <c r="L194" s="93">
        <v>0.9</v>
      </c>
      <c r="M194" s="91">
        <v>12</v>
      </c>
      <c r="N194" s="91">
        <v>1200</v>
      </c>
      <c r="O194" s="91">
        <v>1200</v>
      </c>
      <c r="P194" s="91">
        <v>14</v>
      </c>
      <c r="Q194" s="90">
        <v>0.1</v>
      </c>
      <c r="R194" s="91">
        <v>300</v>
      </c>
      <c r="S194" s="93">
        <v>18</v>
      </c>
      <c r="T194" s="21"/>
      <c r="U194" s="32"/>
      <c r="V194" s="32"/>
      <c r="W194" s="32"/>
    </row>
    <row r="195" spans="1:23" s="1" customFormat="1" ht="11.25" customHeight="1">
      <c r="A195" s="228" t="s">
        <v>73</v>
      </c>
      <c r="B195" s="229"/>
      <c r="C195" s="229"/>
      <c r="D195" s="230"/>
      <c r="E195" s="98">
        <f aca="true" t="shared" si="51" ref="E195:S195">E193/E194</f>
        <v>0.895004882154882</v>
      </c>
      <c r="F195" s="55">
        <f t="shared" si="51"/>
        <v>0.8292890316205532</v>
      </c>
      <c r="G195" s="55">
        <f t="shared" si="51"/>
        <v>0.6677263232850701</v>
      </c>
      <c r="H195" s="55">
        <f t="shared" si="51"/>
        <v>0.7469888981729056</v>
      </c>
      <c r="I195" s="55">
        <f t="shared" si="51"/>
        <v>1.1485714285714288</v>
      </c>
      <c r="J195" s="55">
        <f t="shared" si="51"/>
        <v>0.7328124999999999</v>
      </c>
      <c r="K195" s="55">
        <f t="shared" si="51"/>
        <v>1.0800031385281386</v>
      </c>
      <c r="L195" s="57">
        <f t="shared" si="51"/>
        <v>0.7991851851851852</v>
      </c>
      <c r="M195" s="55">
        <f t="shared" si="51"/>
        <v>0.8324444444444445</v>
      </c>
      <c r="N195" s="55">
        <f t="shared" si="51"/>
        <v>0.655102904040404</v>
      </c>
      <c r="O195" s="55">
        <f t="shared" si="51"/>
        <v>0.9026208333333333</v>
      </c>
      <c r="P195" s="55">
        <f t="shared" si="51"/>
        <v>0.9884642857142857</v>
      </c>
      <c r="Q195" s="57">
        <f t="shared" si="51"/>
        <v>2.3408333333333333</v>
      </c>
      <c r="R195" s="55">
        <f t="shared" si="51"/>
        <v>0.8473037878787879</v>
      </c>
      <c r="S195" s="57">
        <f t="shared" si="51"/>
        <v>0.8215597643097643</v>
      </c>
      <c r="T195" s="58"/>
      <c r="U195" s="59"/>
      <c r="V195" s="59"/>
      <c r="W195" s="59"/>
    </row>
    <row r="196" spans="1:23" s="1" customFormat="1" ht="11.25" customHeight="1">
      <c r="A196" s="156" t="s">
        <v>158</v>
      </c>
      <c r="B196" s="134"/>
      <c r="C196" s="135"/>
      <c r="D196" s="135"/>
      <c r="E196" s="136"/>
      <c r="F196" s="137"/>
      <c r="G196" s="138"/>
      <c r="H196" s="6"/>
      <c r="I196" s="6"/>
      <c r="J196" s="6"/>
      <c r="K196" s="6"/>
      <c r="L196" s="244"/>
      <c r="M196" s="244"/>
      <c r="N196" s="244"/>
      <c r="O196" s="244"/>
      <c r="P196" s="244"/>
      <c r="Q196" s="244"/>
      <c r="R196" s="244"/>
      <c r="S196" s="244"/>
      <c r="T196" s="17"/>
      <c r="U196" s="25"/>
      <c r="V196" s="25"/>
      <c r="W196" s="25"/>
    </row>
    <row r="197" spans="1:23" s="1" customFormat="1" ht="11.25" customHeight="1">
      <c r="A197" s="150"/>
      <c r="B197" s="70"/>
      <c r="C197" s="70"/>
      <c r="D197" s="92"/>
      <c r="E197" s="44"/>
      <c r="F197" s="92"/>
      <c r="G197" s="92"/>
      <c r="H197" s="92"/>
      <c r="I197" s="92"/>
      <c r="J197" s="92"/>
      <c r="K197" s="92"/>
      <c r="L197" s="244" t="s">
        <v>86</v>
      </c>
      <c r="M197" s="244"/>
      <c r="N197" s="244"/>
      <c r="O197" s="244"/>
      <c r="P197" s="244"/>
      <c r="Q197" s="244"/>
      <c r="R197" s="244"/>
      <c r="S197" s="244"/>
      <c r="T197" s="17"/>
      <c r="U197" s="25"/>
      <c r="V197" s="25"/>
      <c r="W197" s="25"/>
    </row>
    <row r="198" spans="1:23" s="6" customFormat="1" ht="11.25" customHeight="1">
      <c r="A198" s="256" t="s">
        <v>39</v>
      </c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18"/>
      <c r="U198" s="31"/>
      <c r="V198" s="31"/>
      <c r="W198" s="31"/>
    </row>
    <row r="199" spans="1:23" s="6" customFormat="1" ht="11.25" customHeight="1">
      <c r="A199" s="151" t="s">
        <v>64</v>
      </c>
      <c r="B199" s="70"/>
      <c r="C199" s="70"/>
      <c r="D199" s="2"/>
      <c r="E199" s="44"/>
      <c r="F199" s="243" t="s">
        <v>0</v>
      </c>
      <c r="G199" s="243"/>
      <c r="H199" s="243"/>
      <c r="K199" s="252" t="s">
        <v>1</v>
      </c>
      <c r="L199" s="252"/>
      <c r="M199" s="280" t="s">
        <v>82</v>
      </c>
      <c r="N199" s="280"/>
      <c r="O199" s="280"/>
      <c r="P199" s="280"/>
      <c r="T199" s="19"/>
      <c r="U199" s="26"/>
      <c r="V199" s="26"/>
      <c r="W199" s="26"/>
    </row>
    <row r="200" spans="1:23" s="6" customFormat="1" ht="11.25" customHeight="1">
      <c r="A200" s="152"/>
      <c r="B200" s="70"/>
      <c r="C200" s="70"/>
      <c r="D200" s="245" t="s">
        <v>2</v>
      </c>
      <c r="E200" s="245"/>
      <c r="F200" s="11">
        <v>2</v>
      </c>
      <c r="H200" s="2"/>
      <c r="I200" s="2"/>
      <c r="J200" s="2"/>
      <c r="K200" s="245" t="s">
        <v>3</v>
      </c>
      <c r="L200" s="245"/>
      <c r="M200" s="243" t="s">
        <v>146</v>
      </c>
      <c r="N200" s="243"/>
      <c r="O200" s="243"/>
      <c r="P200" s="243"/>
      <c r="Q200" s="243"/>
      <c r="R200" s="243"/>
      <c r="S200" s="243"/>
      <c r="T200" s="20"/>
      <c r="U200" s="27"/>
      <c r="V200" s="27"/>
      <c r="W200" s="27"/>
    </row>
    <row r="201" spans="1:23" s="6" customFormat="1" ht="21.75" customHeight="1">
      <c r="A201" s="254" t="s">
        <v>4</v>
      </c>
      <c r="B201" s="265" t="s">
        <v>5</v>
      </c>
      <c r="C201" s="266"/>
      <c r="D201" s="254" t="s">
        <v>6</v>
      </c>
      <c r="E201" s="240" t="s">
        <v>7</v>
      </c>
      <c r="F201" s="241"/>
      <c r="G201" s="242"/>
      <c r="H201" s="254" t="s">
        <v>8</v>
      </c>
      <c r="I201" s="240" t="s">
        <v>9</v>
      </c>
      <c r="J201" s="241"/>
      <c r="K201" s="241"/>
      <c r="L201" s="241"/>
      <c r="M201" s="242"/>
      <c r="N201" s="240" t="s">
        <v>10</v>
      </c>
      <c r="O201" s="241"/>
      <c r="P201" s="241"/>
      <c r="Q201" s="241"/>
      <c r="R201" s="241"/>
      <c r="S201" s="242"/>
      <c r="T201" s="14"/>
      <c r="U201" s="26"/>
      <c r="V201" s="26"/>
      <c r="W201" s="26"/>
    </row>
    <row r="202" spans="1:23" s="6" customFormat="1" ht="21" customHeight="1">
      <c r="A202" s="255"/>
      <c r="B202" s="259"/>
      <c r="C202" s="260"/>
      <c r="D202" s="255"/>
      <c r="E202" s="119" t="s">
        <v>11</v>
      </c>
      <c r="F202" s="47" t="s">
        <v>12</v>
      </c>
      <c r="G202" s="47" t="s">
        <v>13</v>
      </c>
      <c r="H202" s="255"/>
      <c r="I202" s="47" t="s">
        <v>14</v>
      </c>
      <c r="J202" s="47" t="s">
        <v>66</v>
      </c>
      <c r="K202" s="47" t="s">
        <v>15</v>
      </c>
      <c r="L202" s="47" t="s">
        <v>16</v>
      </c>
      <c r="M202" s="47" t="s">
        <v>17</v>
      </c>
      <c r="N202" s="47" t="s">
        <v>18</v>
      </c>
      <c r="O202" s="47" t="s">
        <v>19</v>
      </c>
      <c r="P202" s="47" t="s">
        <v>67</v>
      </c>
      <c r="Q202" s="47" t="s">
        <v>68</v>
      </c>
      <c r="R202" s="47" t="s">
        <v>20</v>
      </c>
      <c r="S202" s="47" t="s">
        <v>21</v>
      </c>
      <c r="T202" s="14"/>
      <c r="U202" s="26"/>
      <c r="V202" s="26"/>
      <c r="W202" s="26"/>
    </row>
    <row r="203" spans="1:23" s="6" customFormat="1" ht="11.25" customHeight="1">
      <c r="A203" s="99">
        <v>1</v>
      </c>
      <c r="B203" s="235">
        <v>2</v>
      </c>
      <c r="C203" s="236"/>
      <c r="D203" s="48">
        <v>3</v>
      </c>
      <c r="E203" s="120">
        <v>4</v>
      </c>
      <c r="F203" s="48">
        <v>5</v>
      </c>
      <c r="G203" s="48">
        <v>6</v>
      </c>
      <c r="H203" s="48">
        <v>7</v>
      </c>
      <c r="I203" s="48">
        <v>8</v>
      </c>
      <c r="J203" s="48">
        <v>9</v>
      </c>
      <c r="K203" s="48">
        <v>10</v>
      </c>
      <c r="L203" s="48">
        <v>11</v>
      </c>
      <c r="M203" s="48">
        <v>12</v>
      </c>
      <c r="N203" s="48">
        <v>13</v>
      </c>
      <c r="O203" s="48">
        <v>14</v>
      </c>
      <c r="P203" s="48">
        <v>15</v>
      </c>
      <c r="Q203" s="48">
        <v>16</v>
      </c>
      <c r="R203" s="48">
        <v>17</v>
      </c>
      <c r="S203" s="48">
        <v>18</v>
      </c>
      <c r="T203" s="15"/>
      <c r="U203" s="26"/>
      <c r="V203" s="26"/>
      <c r="W203" s="26"/>
    </row>
    <row r="204" spans="1:23" s="6" customFormat="1" ht="11.25" customHeight="1">
      <c r="A204" s="237" t="s">
        <v>25</v>
      </c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9"/>
      <c r="T204" s="16"/>
      <c r="U204" s="26"/>
      <c r="V204" s="26"/>
      <c r="W204" s="26"/>
    </row>
    <row r="205" spans="1:23" s="6" customFormat="1" ht="11.25" customHeight="1">
      <c r="A205" s="117">
        <v>338</v>
      </c>
      <c r="B205" s="234" t="s">
        <v>155</v>
      </c>
      <c r="C205" s="234"/>
      <c r="D205" s="91">
        <v>100</v>
      </c>
      <c r="E205" s="93">
        <v>0.4</v>
      </c>
      <c r="F205" s="89">
        <v>0.4</v>
      </c>
      <c r="G205" s="90">
        <v>9.8</v>
      </c>
      <c r="H205" s="90">
        <f>E205*4+F205*9+G205*4</f>
        <v>44.400000000000006</v>
      </c>
      <c r="I205" s="93">
        <v>0.04</v>
      </c>
      <c r="J205" s="93">
        <v>0.02</v>
      </c>
      <c r="K205" s="91">
        <v>10</v>
      </c>
      <c r="L205" s="91">
        <v>0.02</v>
      </c>
      <c r="M205" s="93">
        <v>0.2</v>
      </c>
      <c r="N205" s="93">
        <v>16</v>
      </c>
      <c r="O205" s="93">
        <v>11</v>
      </c>
      <c r="P205" s="91">
        <v>0.03</v>
      </c>
      <c r="Q205" s="91">
        <v>0.002</v>
      </c>
      <c r="R205" s="93">
        <v>9</v>
      </c>
      <c r="S205" s="93">
        <v>2.2</v>
      </c>
      <c r="T205" s="16"/>
      <c r="U205" s="30"/>
      <c r="V205" s="30"/>
      <c r="W205" s="30"/>
    </row>
    <row r="206" spans="1:23" s="6" customFormat="1" ht="11.25" customHeight="1">
      <c r="A206" s="117">
        <v>15</v>
      </c>
      <c r="B206" s="231" t="s">
        <v>108</v>
      </c>
      <c r="C206" s="232"/>
      <c r="D206" s="91">
        <v>25</v>
      </c>
      <c r="E206" s="93">
        <f>2.32*D206/10</f>
        <v>5.799999999999999</v>
      </c>
      <c r="F206" s="93">
        <f>3.4*D206/10</f>
        <v>8.5</v>
      </c>
      <c r="G206" s="93">
        <f>0.01*D206/10</f>
        <v>0.025</v>
      </c>
      <c r="H206" s="93">
        <f>E206*4+F206*9+G206*4</f>
        <v>99.79999999999998</v>
      </c>
      <c r="I206" s="93">
        <f>0.004*D206/10</f>
        <v>0.01</v>
      </c>
      <c r="J206" s="93">
        <f>0.03*D206/10</f>
        <v>0.075</v>
      </c>
      <c r="K206" s="93">
        <f>0.07*D206/10</f>
        <v>0.17500000000000002</v>
      </c>
      <c r="L206" s="94">
        <f>0.023*D206/10</f>
        <v>0.057499999999999996</v>
      </c>
      <c r="M206" s="93">
        <f>0.05*D206/10</f>
        <v>0.125</v>
      </c>
      <c r="N206" s="93">
        <f>88*D206/10</f>
        <v>220</v>
      </c>
      <c r="O206" s="93">
        <f>50*D206/10</f>
        <v>125</v>
      </c>
      <c r="P206" s="93">
        <f>0.4*D206/10</f>
        <v>1</v>
      </c>
      <c r="Q206" s="94">
        <f>0.02*D206/10</f>
        <v>0.05</v>
      </c>
      <c r="R206" s="93">
        <f>3.5*D206/10</f>
        <v>8.75</v>
      </c>
      <c r="S206" s="93">
        <f>0.13*D206/10</f>
        <v>0.325</v>
      </c>
      <c r="T206" s="16"/>
      <c r="U206" s="30"/>
      <c r="V206" s="30"/>
      <c r="W206" s="30"/>
    </row>
    <row r="207" spans="1:23" s="6" customFormat="1" ht="21.75" customHeight="1">
      <c r="A207" s="99">
        <v>173</v>
      </c>
      <c r="B207" s="231" t="s">
        <v>77</v>
      </c>
      <c r="C207" s="232"/>
      <c r="D207" s="80">
        <v>230</v>
      </c>
      <c r="E207" s="93">
        <f>7.3*D207/200</f>
        <v>8.395</v>
      </c>
      <c r="F207" s="93">
        <f>12.5*D207/200</f>
        <v>14.375</v>
      </c>
      <c r="G207" s="93">
        <f>54.3*D207/200</f>
        <v>62.445</v>
      </c>
      <c r="H207" s="93">
        <f>E207*4+F207*9+G207*4</f>
        <v>412.735</v>
      </c>
      <c r="I207" s="93">
        <f>0.14*D207/200</f>
        <v>0.161</v>
      </c>
      <c r="J207" s="93">
        <f>0.18*D207/200</f>
        <v>0.207</v>
      </c>
      <c r="K207" s="93">
        <f>3.35*D207/200</f>
        <v>3.8525</v>
      </c>
      <c r="L207" s="12">
        <f>0.037*D207/200</f>
        <v>0.04255</v>
      </c>
      <c r="M207" s="9">
        <f>1.3*D207/200</f>
        <v>1.495</v>
      </c>
      <c r="N207" s="4">
        <f>147.6*D207/200</f>
        <v>169.74</v>
      </c>
      <c r="O207" s="4">
        <f>198.6*D207/200</f>
        <v>228.39</v>
      </c>
      <c r="P207" s="5">
        <v>0</v>
      </c>
      <c r="Q207" s="4">
        <v>0</v>
      </c>
      <c r="R207" s="4">
        <f>57.8*D207/200</f>
        <v>66.47</v>
      </c>
      <c r="S207" s="9">
        <f>1.3*D207/200</f>
        <v>1.495</v>
      </c>
      <c r="T207" s="21"/>
      <c r="U207" s="32"/>
      <c r="V207" s="32"/>
      <c r="W207" s="32"/>
    </row>
    <row r="208" spans="1:23" s="6" customFormat="1" ht="12.75" customHeight="1">
      <c r="A208" s="117">
        <v>379</v>
      </c>
      <c r="B208" s="231" t="s">
        <v>58</v>
      </c>
      <c r="C208" s="232"/>
      <c r="D208" s="80">
        <v>200</v>
      </c>
      <c r="E208" s="93">
        <v>3.17</v>
      </c>
      <c r="F208" s="93">
        <v>2.68</v>
      </c>
      <c r="G208" s="93">
        <v>15.95</v>
      </c>
      <c r="H208" s="93">
        <f>E208*4+F208*9+G208*4</f>
        <v>100.6</v>
      </c>
      <c r="I208" s="93">
        <v>0.04</v>
      </c>
      <c r="J208" s="93">
        <v>0.15</v>
      </c>
      <c r="K208" s="93">
        <v>1.3</v>
      </c>
      <c r="L208" s="94">
        <v>0.03</v>
      </c>
      <c r="M208" s="89">
        <v>0.06</v>
      </c>
      <c r="N208" s="93">
        <v>120.4</v>
      </c>
      <c r="O208" s="90">
        <v>90</v>
      </c>
      <c r="P208" s="93">
        <v>1.1</v>
      </c>
      <c r="Q208" s="94">
        <v>0.01</v>
      </c>
      <c r="R208" s="93">
        <v>14</v>
      </c>
      <c r="S208" s="93">
        <v>0.12</v>
      </c>
      <c r="T208" s="21"/>
      <c r="U208" s="32"/>
      <c r="V208" s="32"/>
      <c r="W208" s="32"/>
    </row>
    <row r="209" spans="1:23" s="6" customFormat="1" ht="13.5" customHeight="1">
      <c r="A209" s="99" t="s">
        <v>87</v>
      </c>
      <c r="B209" s="224" t="s">
        <v>60</v>
      </c>
      <c r="C209" s="225"/>
      <c r="D209" s="91">
        <v>40</v>
      </c>
      <c r="E209" s="93">
        <f>1.52*D209/30</f>
        <v>2.0266666666666664</v>
      </c>
      <c r="F209" s="94">
        <f>0.16*D209/30</f>
        <v>0.21333333333333335</v>
      </c>
      <c r="G209" s="94">
        <f>9.84*D209/30</f>
        <v>13.120000000000001</v>
      </c>
      <c r="H209" s="94">
        <f>E209*4+F209*9+G209*4</f>
        <v>62.50666666666667</v>
      </c>
      <c r="I209" s="94">
        <f>0.02*D209/30</f>
        <v>0.02666666666666667</v>
      </c>
      <c r="J209" s="94">
        <f>0.01*D209/30</f>
        <v>0.013333333333333334</v>
      </c>
      <c r="K209" s="94">
        <f>0.44*D209/30</f>
        <v>0.5866666666666667</v>
      </c>
      <c r="L209" s="94">
        <v>0</v>
      </c>
      <c r="M209" s="94">
        <f>0.7*D209/30</f>
        <v>0.9333333333333333</v>
      </c>
      <c r="N209" s="94">
        <f>4*D209/30</f>
        <v>5.333333333333333</v>
      </c>
      <c r="O209" s="94">
        <f>13*D209/30</f>
        <v>17.333333333333332</v>
      </c>
      <c r="P209" s="94">
        <f>0.008*D209/30</f>
        <v>0.010666666666666666</v>
      </c>
      <c r="Q209" s="94">
        <f>0.001*D209/30</f>
        <v>0.0013333333333333333</v>
      </c>
      <c r="R209" s="94">
        <v>0</v>
      </c>
      <c r="S209" s="94">
        <f>0.22*D209/30</f>
        <v>0.29333333333333333</v>
      </c>
      <c r="T209" s="21"/>
      <c r="U209" s="32"/>
      <c r="V209" s="32"/>
      <c r="W209" s="32"/>
    </row>
    <row r="210" spans="1:23" s="1" customFormat="1" ht="11.25" customHeight="1">
      <c r="A210" s="155" t="s">
        <v>26</v>
      </c>
      <c r="B210" s="84"/>
      <c r="C210" s="84"/>
      <c r="D210" s="171">
        <f>SUM(D205:D209)</f>
        <v>595</v>
      </c>
      <c r="E210" s="50">
        <f aca="true" t="shared" si="52" ref="E210:S210">SUM(E205:E209)</f>
        <v>19.791666666666668</v>
      </c>
      <c r="F210" s="49">
        <f t="shared" si="52"/>
        <v>26.168333333333333</v>
      </c>
      <c r="G210" s="49">
        <f t="shared" si="52"/>
        <v>101.34</v>
      </c>
      <c r="H210" s="49">
        <f t="shared" si="52"/>
        <v>720.0416666666666</v>
      </c>
      <c r="I210" s="50">
        <f t="shared" si="52"/>
        <v>0.2776666666666667</v>
      </c>
      <c r="J210" s="50">
        <f t="shared" si="52"/>
        <v>0.46533333333333327</v>
      </c>
      <c r="K210" s="50">
        <f t="shared" si="52"/>
        <v>15.914166666666667</v>
      </c>
      <c r="L210" s="50">
        <f t="shared" si="52"/>
        <v>0.15005</v>
      </c>
      <c r="M210" s="50">
        <f t="shared" si="52"/>
        <v>2.8133333333333335</v>
      </c>
      <c r="N210" s="50">
        <f t="shared" si="52"/>
        <v>531.4733333333334</v>
      </c>
      <c r="O210" s="50">
        <f t="shared" si="52"/>
        <v>471.7233333333333</v>
      </c>
      <c r="P210" s="50">
        <f t="shared" si="52"/>
        <v>2.1406666666666667</v>
      </c>
      <c r="Q210" s="51">
        <f t="shared" si="52"/>
        <v>0.06333333333333334</v>
      </c>
      <c r="R210" s="50">
        <f t="shared" si="52"/>
        <v>98.22</v>
      </c>
      <c r="S210" s="50">
        <f t="shared" si="52"/>
        <v>4.433333333333334</v>
      </c>
      <c r="T210" s="49"/>
      <c r="U210" s="52"/>
      <c r="V210" s="52"/>
      <c r="W210" s="52"/>
    </row>
    <row r="211" spans="1:23" s="1" customFormat="1" ht="11.25" customHeight="1">
      <c r="A211" s="249" t="s">
        <v>73</v>
      </c>
      <c r="B211" s="250"/>
      <c r="C211" s="250"/>
      <c r="D211" s="251"/>
      <c r="E211" s="126">
        <f aca="true" t="shared" si="53" ref="E211:S211">E210/E233</f>
        <v>0.2199074074074074</v>
      </c>
      <c r="F211" s="55">
        <f t="shared" si="53"/>
        <v>0.28443840579710145</v>
      </c>
      <c r="G211" s="55">
        <f t="shared" si="53"/>
        <v>0.2645953002610966</v>
      </c>
      <c r="H211" s="55">
        <f t="shared" si="53"/>
        <v>0.26472120098039215</v>
      </c>
      <c r="I211" s="55">
        <f t="shared" si="53"/>
        <v>0.19833333333333336</v>
      </c>
      <c r="J211" s="55">
        <f t="shared" si="53"/>
        <v>0.2908333333333333</v>
      </c>
      <c r="K211" s="55">
        <f t="shared" si="53"/>
        <v>0.2273452380952381</v>
      </c>
      <c r="L211" s="55">
        <f t="shared" si="53"/>
        <v>0.16672222222222222</v>
      </c>
      <c r="M211" s="55">
        <f t="shared" si="53"/>
        <v>0.23444444444444446</v>
      </c>
      <c r="N211" s="55">
        <f t="shared" si="53"/>
        <v>0.4428944444444445</v>
      </c>
      <c r="O211" s="55">
        <f t="shared" si="53"/>
        <v>0.39310277777777775</v>
      </c>
      <c r="P211" s="55">
        <f t="shared" si="53"/>
        <v>0.1529047619047619</v>
      </c>
      <c r="Q211" s="55">
        <f t="shared" si="53"/>
        <v>0.6333333333333333</v>
      </c>
      <c r="R211" s="55">
        <f t="shared" si="53"/>
        <v>0.32739999999999997</v>
      </c>
      <c r="S211" s="55">
        <f t="shared" si="53"/>
        <v>0.24629629629629632</v>
      </c>
      <c r="T211" s="61"/>
      <c r="U211" s="52"/>
      <c r="V211" s="52"/>
      <c r="W211" s="52"/>
    </row>
    <row r="212" spans="1:23" s="1" customFormat="1" ht="11.25" customHeight="1">
      <c r="A212" s="144" t="s">
        <v>165</v>
      </c>
      <c r="B212" s="145"/>
      <c r="C212" s="145"/>
      <c r="D212" s="146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61"/>
      <c r="U212" s="52"/>
      <c r="V212" s="52"/>
      <c r="W212" s="52"/>
    </row>
    <row r="213" spans="1:23" s="1" customFormat="1" ht="11.25" customHeight="1">
      <c r="A213" s="166" t="s">
        <v>87</v>
      </c>
      <c r="B213" s="167" t="s">
        <v>166</v>
      </c>
      <c r="C213" s="145"/>
      <c r="D213" s="166">
        <v>200</v>
      </c>
      <c r="E213" s="168">
        <v>5.4</v>
      </c>
      <c r="F213" s="168">
        <v>4.4</v>
      </c>
      <c r="G213" s="168">
        <v>8.8</v>
      </c>
      <c r="H213" s="168">
        <v>96.4</v>
      </c>
      <c r="I213" s="168">
        <v>0.08</v>
      </c>
      <c r="J213" s="168">
        <v>0.307</v>
      </c>
      <c r="K213" s="168">
        <v>2.6</v>
      </c>
      <c r="L213" s="168">
        <v>0.067</v>
      </c>
      <c r="M213" s="168">
        <v>0.292</v>
      </c>
      <c r="N213" s="169">
        <v>240</v>
      </c>
      <c r="O213" s="169">
        <v>180</v>
      </c>
      <c r="P213" s="170">
        <v>0.8</v>
      </c>
      <c r="Q213" s="168">
        <v>0.018</v>
      </c>
      <c r="R213" s="169">
        <v>28</v>
      </c>
      <c r="S213" s="168">
        <v>0.12</v>
      </c>
      <c r="T213" s="61"/>
      <c r="U213" s="52"/>
      <c r="V213" s="52"/>
      <c r="W213" s="52"/>
    </row>
    <row r="214" spans="1:23" s="1" customFormat="1" ht="11.25" customHeight="1">
      <c r="A214" s="237" t="s">
        <v>27</v>
      </c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9"/>
      <c r="T214" s="16"/>
      <c r="U214" s="30"/>
      <c r="V214" s="30"/>
      <c r="W214" s="30"/>
    </row>
    <row r="215" spans="1:23" s="1" customFormat="1" ht="11.25" customHeight="1">
      <c r="A215" s="190" t="s">
        <v>123</v>
      </c>
      <c r="B215" s="222" t="s">
        <v>149</v>
      </c>
      <c r="C215" s="223"/>
      <c r="D215" s="185">
        <v>100</v>
      </c>
      <c r="E215" s="186">
        <f>0.944*D215/60</f>
        <v>1.5733333333333333</v>
      </c>
      <c r="F215" s="185">
        <f>2.106*D215/60</f>
        <v>3.51</v>
      </c>
      <c r="G215" s="185">
        <f>2.661*D215/60</f>
        <v>4.4350000000000005</v>
      </c>
      <c r="H215" s="191">
        <f>E215*4+F215*9+G215*4</f>
        <v>55.62333333333333</v>
      </c>
      <c r="I215" s="192">
        <f>0.018*D215/60</f>
        <v>0.029999999999999995</v>
      </c>
      <c r="J215" s="192">
        <f>0.034*D215/60</f>
        <v>0.05666666666666667</v>
      </c>
      <c r="K215" s="186">
        <f>27.9*D215/60</f>
        <v>46.5</v>
      </c>
      <c r="L215" s="192">
        <f>0.002*D215/60</f>
        <v>0.0033333333333333335</v>
      </c>
      <c r="M215" s="192">
        <f>0.943*D215/60</f>
        <v>1.5716666666666665</v>
      </c>
      <c r="N215" s="186">
        <f>26.094*D215/60</f>
        <v>43.49</v>
      </c>
      <c r="O215" s="186">
        <f>19.035*D215/60</f>
        <v>31.725</v>
      </c>
      <c r="P215" s="192">
        <f>0.224*D215/60</f>
        <v>0.37333333333333335</v>
      </c>
      <c r="Q215" s="192">
        <f>0.014*D215/60</f>
        <v>0.023333333333333334</v>
      </c>
      <c r="R215" s="186">
        <f>9*D215/60</f>
        <v>15</v>
      </c>
      <c r="S215" s="186">
        <f>0.367*D215/60</f>
        <v>0.6116666666666667</v>
      </c>
      <c r="T215" s="16"/>
      <c r="U215" s="30"/>
      <c r="V215" s="30"/>
      <c r="W215" s="30"/>
    </row>
    <row r="216" spans="1:23" s="6" customFormat="1" ht="21.75" customHeight="1">
      <c r="A216" s="99">
        <v>24</v>
      </c>
      <c r="B216" s="274" t="s">
        <v>104</v>
      </c>
      <c r="C216" s="275"/>
      <c r="D216" s="91">
        <v>100</v>
      </c>
      <c r="E216" s="93">
        <f>0.3*D216/60</f>
        <v>0.5</v>
      </c>
      <c r="F216" s="93">
        <f>2*D216/60</f>
        <v>3.3333333333333335</v>
      </c>
      <c r="G216" s="93">
        <f>1.6*D216/60</f>
        <v>2.6666666666666665</v>
      </c>
      <c r="H216" s="93">
        <f>E216*4+F216*9+G216*4</f>
        <v>42.666666666666664</v>
      </c>
      <c r="I216" s="93">
        <f>0.06*D216/60</f>
        <v>0.1</v>
      </c>
      <c r="J216" s="93">
        <f>0.04*D216/60</f>
        <v>0.06666666666666667</v>
      </c>
      <c r="K216" s="93">
        <f>12.4*D216/60</f>
        <v>20.666666666666668</v>
      </c>
      <c r="L216" s="94">
        <f>0.001*D216/60</f>
        <v>0.0016666666666666668</v>
      </c>
      <c r="M216" s="93">
        <f>1.5*D216/60</f>
        <v>2.5</v>
      </c>
      <c r="N216" s="93">
        <f>28.2*D216/60</f>
        <v>47</v>
      </c>
      <c r="O216" s="93">
        <f>32.3*D216/60</f>
        <v>53.83333333333333</v>
      </c>
      <c r="P216" s="93">
        <f>0.3*D216/60</f>
        <v>0.5</v>
      </c>
      <c r="Q216" s="94">
        <f>0.002*D216/60</f>
        <v>0.0033333333333333335</v>
      </c>
      <c r="R216" s="93">
        <f>18.6*D216/60</f>
        <v>31.000000000000004</v>
      </c>
      <c r="S216" s="93">
        <f>0.5*D216/60</f>
        <v>0.8333333333333334</v>
      </c>
      <c r="T216" s="21"/>
      <c r="U216" s="32"/>
      <c r="V216" s="32"/>
      <c r="W216" s="32"/>
    </row>
    <row r="217" spans="1:23" s="6" customFormat="1" ht="12.75" customHeight="1">
      <c r="A217" s="99">
        <v>84</v>
      </c>
      <c r="B217" s="231" t="s">
        <v>110</v>
      </c>
      <c r="C217" s="232"/>
      <c r="D217" s="3">
        <v>250</v>
      </c>
      <c r="E217" s="93">
        <f>1.77*D217/200</f>
        <v>2.2125</v>
      </c>
      <c r="F217" s="9">
        <f>2.65*D217/200</f>
        <v>3.3125</v>
      </c>
      <c r="G217" s="9">
        <f>12.74*D217/200</f>
        <v>15.925</v>
      </c>
      <c r="H217" s="9">
        <f aca="true" t="shared" si="54" ref="H217:H222">E217*4+F217*9+G217*4</f>
        <v>102.36250000000001</v>
      </c>
      <c r="I217" s="94">
        <f>0.05*D217/200</f>
        <v>0.0625</v>
      </c>
      <c r="J217" s="94">
        <f>0.05*D217/200</f>
        <v>0.0625</v>
      </c>
      <c r="K217" s="9">
        <f>19*D217/200</f>
        <v>23.75</v>
      </c>
      <c r="L217" s="9">
        <f>0.74*D217/200</f>
        <v>0.925</v>
      </c>
      <c r="M217" s="3">
        <f>0.1*D217/200</f>
        <v>0.125</v>
      </c>
      <c r="N217" s="9">
        <f>43.11*D217/200</f>
        <v>53.8875</v>
      </c>
      <c r="O217" s="9">
        <f>48.75*D217/200</f>
        <v>60.9375</v>
      </c>
      <c r="P217" s="94">
        <f>1.3*D217/200</f>
        <v>1.625</v>
      </c>
      <c r="Q217" s="12">
        <f>0.0032*D217/200</f>
        <v>0.004</v>
      </c>
      <c r="R217" s="9">
        <f>22.44*D217/200</f>
        <v>28.05</v>
      </c>
      <c r="S217" s="9">
        <f>0.8*D217/200</f>
        <v>1</v>
      </c>
      <c r="T217" s="21"/>
      <c r="U217" s="32"/>
      <c r="V217" s="32"/>
      <c r="W217" s="32"/>
    </row>
    <row r="218" spans="1:23" s="6" customFormat="1" ht="14.25" customHeight="1">
      <c r="A218" s="99">
        <v>261</v>
      </c>
      <c r="B218" s="231" t="s">
        <v>90</v>
      </c>
      <c r="C218" s="232"/>
      <c r="D218" s="5">
        <v>100</v>
      </c>
      <c r="E218" s="93">
        <f>14.4*D218/100</f>
        <v>14.4</v>
      </c>
      <c r="F218" s="4">
        <f>14.718*D218/100</f>
        <v>14.718</v>
      </c>
      <c r="G218" s="4">
        <f>6.368*D218/100</f>
        <v>6.368</v>
      </c>
      <c r="H218" s="93">
        <f t="shared" si="54"/>
        <v>215.534</v>
      </c>
      <c r="I218" s="3">
        <f>0.238*D218/100</f>
        <v>0.23799999999999996</v>
      </c>
      <c r="J218" s="3">
        <f>1.594*D218/100</f>
        <v>1.594</v>
      </c>
      <c r="K218" s="4">
        <f>4.516*D218/100</f>
        <v>4.516</v>
      </c>
      <c r="L218" s="3">
        <f>5.873*D218/100</f>
        <v>5.873000000000001</v>
      </c>
      <c r="M218" s="3">
        <f>1.4*D218/100</f>
        <v>1.4</v>
      </c>
      <c r="N218" s="93">
        <f>37.96*D218/100</f>
        <v>37.96</v>
      </c>
      <c r="O218" s="4">
        <f>253.44*D218/100</f>
        <v>253.44</v>
      </c>
      <c r="P218" s="5">
        <f>3*D218/100</f>
        <v>3</v>
      </c>
      <c r="Q218" s="97">
        <f>0.005*D218/100</f>
        <v>0.005</v>
      </c>
      <c r="R218" s="4">
        <f>17.73*D218/100</f>
        <v>17.73</v>
      </c>
      <c r="S218" s="9">
        <f>5.12*D218/100</f>
        <v>5.12</v>
      </c>
      <c r="T218" s="21"/>
      <c r="U218" s="32"/>
      <c r="V218" s="32"/>
      <c r="W218" s="32"/>
    </row>
    <row r="219" spans="1:23" s="6" customFormat="1" ht="23.25" customHeight="1">
      <c r="A219" s="117">
        <v>203</v>
      </c>
      <c r="B219" s="231" t="s">
        <v>111</v>
      </c>
      <c r="C219" s="232"/>
      <c r="D219" s="125">
        <v>180</v>
      </c>
      <c r="E219" s="100">
        <f>5.7*D219/150</f>
        <v>6.84</v>
      </c>
      <c r="F219" s="100">
        <f>3.43*D219/150</f>
        <v>4.116</v>
      </c>
      <c r="G219" s="100">
        <f>36.45*D219/150</f>
        <v>43.74000000000001</v>
      </c>
      <c r="H219" s="100">
        <f t="shared" si="54"/>
        <v>239.36400000000003</v>
      </c>
      <c r="I219" s="100">
        <f>0.09*D219/150</f>
        <v>0.108</v>
      </c>
      <c r="J219" s="100">
        <f>0.03*D219/150</f>
        <v>0.036</v>
      </c>
      <c r="K219" s="100">
        <v>0</v>
      </c>
      <c r="L219" s="127">
        <f>0.03*D219/150</f>
        <v>0.036</v>
      </c>
      <c r="M219" s="100">
        <f>1.25*D219/150</f>
        <v>1.5</v>
      </c>
      <c r="N219" s="100">
        <f>13.28*D219/150</f>
        <v>15.936</v>
      </c>
      <c r="O219" s="100">
        <f>46.21*D219/150</f>
        <v>55.452</v>
      </c>
      <c r="P219" s="100">
        <f>0.78*D219/150</f>
        <v>0.936</v>
      </c>
      <c r="Q219" s="127">
        <f>0.0015*D219/150</f>
        <v>0.0018000000000000002</v>
      </c>
      <c r="R219" s="100">
        <f>8.47*D219/150</f>
        <v>10.164000000000001</v>
      </c>
      <c r="S219" s="100">
        <f>0.86*D219/150</f>
        <v>1.032</v>
      </c>
      <c r="T219" s="21"/>
      <c r="U219" s="32"/>
      <c r="V219" s="32"/>
      <c r="W219" s="32"/>
    </row>
    <row r="220" spans="1:23" s="6" customFormat="1" ht="15" customHeight="1">
      <c r="A220" s="117">
        <v>348</v>
      </c>
      <c r="B220" s="224" t="s">
        <v>70</v>
      </c>
      <c r="C220" s="225"/>
      <c r="D220" s="91">
        <v>200</v>
      </c>
      <c r="E220" s="93">
        <v>0.22</v>
      </c>
      <c r="F220" s="89"/>
      <c r="G220" s="93">
        <v>19.43</v>
      </c>
      <c r="H220" s="93">
        <f>E220*4+F220*9+G220*4</f>
        <v>78.6</v>
      </c>
      <c r="I220" s="89">
        <v>0.01</v>
      </c>
      <c r="J220" s="89">
        <v>0.02</v>
      </c>
      <c r="K220" s="90">
        <v>25.2</v>
      </c>
      <c r="L220" s="89"/>
      <c r="M220" s="89">
        <v>0.2</v>
      </c>
      <c r="N220" s="90">
        <v>22.5</v>
      </c>
      <c r="O220" s="90">
        <v>7.7</v>
      </c>
      <c r="P220" s="90">
        <v>0.08</v>
      </c>
      <c r="Q220" s="94">
        <v>0.001</v>
      </c>
      <c r="R220" s="91">
        <v>3</v>
      </c>
      <c r="S220" s="93">
        <v>0.65</v>
      </c>
      <c r="T220" s="21"/>
      <c r="U220" s="32"/>
      <c r="V220" s="32"/>
      <c r="W220" s="32"/>
    </row>
    <row r="221" spans="1:23" s="6" customFormat="1" ht="11.25" customHeight="1">
      <c r="A221" s="99" t="s">
        <v>87</v>
      </c>
      <c r="B221" s="231" t="s">
        <v>47</v>
      </c>
      <c r="C221" s="232"/>
      <c r="D221" s="91">
        <v>40</v>
      </c>
      <c r="E221" s="93">
        <f>2.64*D221/40</f>
        <v>2.64</v>
      </c>
      <c r="F221" s="93">
        <f>0.48*D221/40</f>
        <v>0.48</v>
      </c>
      <c r="G221" s="93">
        <f>13.68*D221/40</f>
        <v>13.680000000000001</v>
      </c>
      <c r="H221" s="90">
        <f t="shared" si="54"/>
        <v>69.60000000000001</v>
      </c>
      <c r="I221" s="89">
        <f>0.08*D221/40</f>
        <v>0.08</v>
      </c>
      <c r="J221" s="93">
        <f>0.04*D221/40</f>
        <v>0.04</v>
      </c>
      <c r="K221" s="91">
        <v>0</v>
      </c>
      <c r="L221" s="91">
        <v>0</v>
      </c>
      <c r="M221" s="93">
        <f>2.4*D221/100</f>
        <v>0.96</v>
      </c>
      <c r="N221" s="93">
        <f>14*D221/40</f>
        <v>14</v>
      </c>
      <c r="O221" s="93">
        <f>63.2*D221/40</f>
        <v>63.2</v>
      </c>
      <c r="P221" s="93">
        <f>1.2*D221/40</f>
        <v>1.2</v>
      </c>
      <c r="Q221" s="94">
        <f>0.001*D221/40</f>
        <v>0.001</v>
      </c>
      <c r="R221" s="93">
        <f>9.4*D221/40</f>
        <v>9.4</v>
      </c>
      <c r="S221" s="89">
        <f>0.78*D221/40</f>
        <v>0.78</v>
      </c>
      <c r="T221" s="38"/>
      <c r="U221" s="39"/>
      <c r="V221" s="39"/>
      <c r="W221" s="39"/>
    </row>
    <row r="222" spans="1:23" s="6" customFormat="1" ht="11.25" customHeight="1">
      <c r="A222" s="99" t="s">
        <v>87</v>
      </c>
      <c r="B222" s="231" t="s">
        <v>60</v>
      </c>
      <c r="C222" s="232"/>
      <c r="D222" s="91">
        <v>40</v>
      </c>
      <c r="E222" s="93">
        <f>1.52*D222/30</f>
        <v>2.0266666666666664</v>
      </c>
      <c r="F222" s="94">
        <f>0.16*D222/30</f>
        <v>0.21333333333333335</v>
      </c>
      <c r="G222" s="94">
        <f>9.84*D222/30</f>
        <v>13.120000000000001</v>
      </c>
      <c r="H222" s="94">
        <f t="shared" si="54"/>
        <v>62.50666666666667</v>
      </c>
      <c r="I222" s="94">
        <f>0.02*D222/30</f>
        <v>0.02666666666666667</v>
      </c>
      <c r="J222" s="94">
        <f>0.01*D222/30</f>
        <v>0.013333333333333334</v>
      </c>
      <c r="K222" s="94">
        <f>0.44*D222/30</f>
        <v>0.5866666666666667</v>
      </c>
      <c r="L222" s="94">
        <v>0</v>
      </c>
      <c r="M222" s="94">
        <f>0.7*D222/30</f>
        <v>0.9333333333333333</v>
      </c>
      <c r="N222" s="94">
        <f>4*D222/30</f>
        <v>5.333333333333333</v>
      </c>
      <c r="O222" s="94">
        <f>13*D222/30</f>
        <v>17.333333333333332</v>
      </c>
      <c r="P222" s="94">
        <f>0.008*D222/30</f>
        <v>0.010666666666666666</v>
      </c>
      <c r="Q222" s="94">
        <f>0.001*D222/30</f>
        <v>0.0013333333333333333</v>
      </c>
      <c r="R222" s="94">
        <v>0</v>
      </c>
      <c r="S222" s="94">
        <f>0.22*D222/30</f>
        <v>0.29333333333333333</v>
      </c>
      <c r="T222" s="21"/>
      <c r="U222" s="32"/>
      <c r="V222" s="32"/>
      <c r="W222" s="32"/>
    </row>
    <row r="223" spans="1:23" s="6" customFormat="1" ht="11.25" customHeight="1">
      <c r="A223" s="155" t="s">
        <v>28</v>
      </c>
      <c r="B223" s="84"/>
      <c r="C223" s="84"/>
      <c r="D223" s="180">
        <v>910</v>
      </c>
      <c r="E223" s="50">
        <f>SUM(E216:E222)</f>
        <v>28.839166666666667</v>
      </c>
      <c r="F223" s="49">
        <f>SUM(F216:F222)</f>
        <v>26.173166666666667</v>
      </c>
      <c r="G223" s="49">
        <f>SUM(G216:G222)</f>
        <v>114.92966666666669</v>
      </c>
      <c r="H223" s="49">
        <f>SUM(H216:H222)</f>
        <v>810.6338333333334</v>
      </c>
      <c r="I223" s="50">
        <f aca="true" t="shared" si="55" ref="I223:S223">SUM(I216:I222)</f>
        <v>0.6251666666666665</v>
      </c>
      <c r="J223" s="50">
        <f t="shared" si="55"/>
        <v>1.8325000000000002</v>
      </c>
      <c r="K223" s="49">
        <f t="shared" si="55"/>
        <v>74.71933333333334</v>
      </c>
      <c r="L223" s="50">
        <f t="shared" si="55"/>
        <v>6.8356666666666674</v>
      </c>
      <c r="M223" s="54">
        <f t="shared" si="55"/>
        <v>7.618333333333334</v>
      </c>
      <c r="N223" s="49">
        <f t="shared" si="55"/>
        <v>196.61683333333335</v>
      </c>
      <c r="O223" s="49">
        <f t="shared" si="55"/>
        <v>511.8961666666666</v>
      </c>
      <c r="P223" s="50">
        <f t="shared" si="55"/>
        <v>7.351666666666667</v>
      </c>
      <c r="Q223" s="50">
        <f t="shared" si="55"/>
        <v>0.01746666666666667</v>
      </c>
      <c r="R223" s="49">
        <f t="shared" si="55"/>
        <v>99.34400000000001</v>
      </c>
      <c r="S223" s="50">
        <f t="shared" si="55"/>
        <v>9.708666666666666</v>
      </c>
      <c r="T223" s="49"/>
      <c r="U223" s="52"/>
      <c r="V223" s="52"/>
      <c r="W223" s="52"/>
    </row>
    <row r="224" spans="1:23" s="6" customFormat="1" ht="11.25" customHeight="1">
      <c r="A224" s="249" t="s">
        <v>73</v>
      </c>
      <c r="B224" s="250"/>
      <c r="C224" s="250"/>
      <c r="D224" s="251"/>
      <c r="E224" s="126">
        <f aca="true" t="shared" si="56" ref="E224:S224">E223/E233</f>
        <v>0.3204351851851852</v>
      </c>
      <c r="F224" s="55">
        <f t="shared" si="56"/>
        <v>0.2844909420289855</v>
      </c>
      <c r="G224" s="55">
        <f t="shared" si="56"/>
        <v>0.30007745865970414</v>
      </c>
      <c r="H224" s="55">
        <f t="shared" si="56"/>
        <v>0.2980271446078432</v>
      </c>
      <c r="I224" s="55">
        <f t="shared" si="56"/>
        <v>0.44654761904761897</v>
      </c>
      <c r="J224" s="55">
        <f t="shared" si="56"/>
        <v>1.1453125000000002</v>
      </c>
      <c r="K224" s="55">
        <f t="shared" si="56"/>
        <v>1.0674190476190477</v>
      </c>
      <c r="L224" s="55">
        <f t="shared" si="56"/>
        <v>7.595185185185186</v>
      </c>
      <c r="M224" s="55">
        <f t="shared" si="56"/>
        <v>0.6348611111111112</v>
      </c>
      <c r="N224" s="55">
        <f t="shared" si="56"/>
        <v>0.16384736111111112</v>
      </c>
      <c r="O224" s="55">
        <f t="shared" si="56"/>
        <v>0.42658013888888885</v>
      </c>
      <c r="P224" s="55">
        <f t="shared" si="56"/>
        <v>0.5251190476190476</v>
      </c>
      <c r="Q224" s="55">
        <f t="shared" si="56"/>
        <v>0.17466666666666666</v>
      </c>
      <c r="R224" s="55">
        <f t="shared" si="56"/>
        <v>0.3311466666666667</v>
      </c>
      <c r="S224" s="55">
        <f t="shared" si="56"/>
        <v>0.5393703703703703</v>
      </c>
      <c r="T224" s="61"/>
      <c r="U224" s="52"/>
      <c r="V224" s="52"/>
      <c r="W224" s="52"/>
    </row>
    <row r="225" spans="1:23" s="92" customFormat="1" ht="11.25" customHeight="1">
      <c r="A225" s="154" t="s">
        <v>106</v>
      </c>
      <c r="B225" s="145"/>
      <c r="C225" s="145"/>
      <c r="D225" s="162"/>
      <c r="E225" s="50">
        <f>E215+E217+E218+E219+E220+E221+E222</f>
        <v>29.9125</v>
      </c>
      <c r="F225" s="50">
        <f aca="true" t="shared" si="57" ref="F225:S225">F215+F217+F218+F219+F220+F221+F222</f>
        <v>26.349833333333336</v>
      </c>
      <c r="G225" s="50">
        <f t="shared" si="57"/>
        <v>116.69800000000004</v>
      </c>
      <c r="H225" s="50">
        <f t="shared" si="57"/>
        <v>823.5905</v>
      </c>
      <c r="I225" s="50">
        <f t="shared" si="57"/>
        <v>0.5551666666666666</v>
      </c>
      <c r="J225" s="50">
        <f t="shared" si="57"/>
        <v>1.8225000000000002</v>
      </c>
      <c r="K225" s="50">
        <f t="shared" si="57"/>
        <v>100.55266666666668</v>
      </c>
      <c r="L225" s="50">
        <f t="shared" si="57"/>
        <v>6.837333333333334</v>
      </c>
      <c r="M225" s="50">
        <f t="shared" si="57"/>
        <v>6.69</v>
      </c>
      <c r="N225" s="50">
        <f t="shared" si="57"/>
        <v>193.10683333333336</v>
      </c>
      <c r="O225" s="50">
        <f t="shared" si="57"/>
        <v>489.78783333333325</v>
      </c>
      <c r="P225" s="50">
        <f t="shared" si="57"/>
        <v>7.225</v>
      </c>
      <c r="Q225" s="50">
        <f t="shared" si="57"/>
        <v>0.03746666666666667</v>
      </c>
      <c r="R225" s="50">
        <f t="shared" si="57"/>
        <v>83.34400000000001</v>
      </c>
      <c r="S225" s="50">
        <f t="shared" si="57"/>
        <v>9.487</v>
      </c>
      <c r="T225" s="61"/>
      <c r="U225" s="52"/>
      <c r="V225" s="52"/>
      <c r="W225" s="52"/>
    </row>
    <row r="226" spans="1:23" s="6" customFormat="1" ht="11.25" customHeight="1">
      <c r="A226" s="237" t="s">
        <v>29</v>
      </c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9"/>
      <c r="T226" s="16"/>
      <c r="U226" s="30"/>
      <c r="V226" s="30"/>
      <c r="W226" s="30"/>
    </row>
    <row r="227" spans="1:23" s="92" customFormat="1" ht="11.25" customHeight="1">
      <c r="A227" s="99">
        <v>341</v>
      </c>
      <c r="B227" s="267" t="s">
        <v>132</v>
      </c>
      <c r="C227" s="268"/>
      <c r="D227" s="80">
        <v>100</v>
      </c>
      <c r="E227" s="93">
        <f>0.39*D227/60</f>
        <v>0.65</v>
      </c>
      <c r="F227" s="93">
        <f>0.18*D227/60</f>
        <v>0.3</v>
      </c>
      <c r="G227" s="93">
        <f>5.37*D227/60</f>
        <v>8.95</v>
      </c>
      <c r="H227" s="93">
        <f>E227*4+F227*9+G227*4</f>
        <v>41.099999999999994</v>
      </c>
      <c r="I227" s="94">
        <f>0.02*D227/60</f>
        <v>0.03333333333333333</v>
      </c>
      <c r="J227" s="93">
        <f>0.02*D227/60</f>
        <v>0.03333333333333333</v>
      </c>
      <c r="K227" s="93">
        <f>22.95*D227/60</f>
        <v>38.25</v>
      </c>
      <c r="L227" s="94">
        <f>0.02*D227/60</f>
        <v>0.03333333333333333</v>
      </c>
      <c r="M227" s="89">
        <f>0.6*D227/60</f>
        <v>1</v>
      </c>
      <c r="N227" s="90">
        <f>15*D227/60</f>
        <v>25</v>
      </c>
      <c r="O227" s="93">
        <f>10.2*D227/60</f>
        <v>16.999999999999996</v>
      </c>
      <c r="P227" s="93">
        <f>0.13*D227/60</f>
        <v>0.21666666666666667</v>
      </c>
      <c r="Q227" s="94">
        <f>0.001*D227/60</f>
        <v>0.0016666666666666668</v>
      </c>
      <c r="R227" s="93">
        <f>6.6*D227/60</f>
        <v>11</v>
      </c>
      <c r="S227" s="93">
        <f>0.75*D227/60</f>
        <v>1.25</v>
      </c>
      <c r="T227" s="16"/>
      <c r="U227" s="30"/>
      <c r="V227" s="30"/>
      <c r="W227" s="30"/>
    </row>
    <row r="228" spans="1:23" s="6" customFormat="1" ht="11.25" customHeight="1">
      <c r="A228" s="149" t="s">
        <v>87</v>
      </c>
      <c r="B228" s="231" t="s">
        <v>169</v>
      </c>
      <c r="C228" s="232"/>
      <c r="D228" s="91">
        <v>75</v>
      </c>
      <c r="E228" s="93">
        <v>4.13</v>
      </c>
      <c r="F228" s="93">
        <v>3.74</v>
      </c>
      <c r="G228" s="93">
        <v>44.42</v>
      </c>
      <c r="H228" s="93">
        <f>E228*4+F228*9+G228*4</f>
        <v>227.86</v>
      </c>
      <c r="I228" s="93">
        <v>0.05</v>
      </c>
      <c r="J228" s="93">
        <v>0.02</v>
      </c>
      <c r="K228" s="90">
        <v>0.7</v>
      </c>
      <c r="L228" s="93">
        <v>0.01</v>
      </c>
      <c r="M228" s="89">
        <v>0</v>
      </c>
      <c r="N228" s="90">
        <v>16.05</v>
      </c>
      <c r="O228" s="93">
        <v>85.43</v>
      </c>
      <c r="P228" s="93">
        <v>0.75</v>
      </c>
      <c r="Q228" s="91">
        <v>0</v>
      </c>
      <c r="R228" s="93">
        <v>15.86</v>
      </c>
      <c r="S228" s="93">
        <v>0.44</v>
      </c>
      <c r="T228" s="21"/>
      <c r="U228" s="287" t="s">
        <v>98</v>
      </c>
      <c r="V228" s="287" t="s">
        <v>99</v>
      </c>
      <c r="W228" s="287" t="s">
        <v>100</v>
      </c>
    </row>
    <row r="229" spans="1:23" s="92" customFormat="1" ht="9.75">
      <c r="A229" s="117">
        <v>350</v>
      </c>
      <c r="B229" s="224" t="s">
        <v>161</v>
      </c>
      <c r="C229" s="225"/>
      <c r="D229" s="80">
        <v>200</v>
      </c>
      <c r="E229" s="77"/>
      <c r="F229" s="77"/>
      <c r="G229" s="77">
        <v>18</v>
      </c>
      <c r="H229" s="77">
        <f>E229*4+F229*9+G229*4</f>
        <v>72</v>
      </c>
      <c r="I229" s="112"/>
      <c r="J229" s="112"/>
      <c r="K229" s="78">
        <v>0.9</v>
      </c>
      <c r="L229" s="112"/>
      <c r="M229" s="112"/>
      <c r="N229" s="77">
        <v>0.35</v>
      </c>
      <c r="O229" s="78"/>
      <c r="P229" s="78"/>
      <c r="Q229" s="78"/>
      <c r="R229" s="78"/>
      <c r="S229" s="77">
        <v>0.4</v>
      </c>
      <c r="T229" s="95"/>
      <c r="U229" s="287"/>
      <c r="V229" s="287"/>
      <c r="W229" s="287"/>
    </row>
    <row r="230" spans="1:23" s="1" customFormat="1" ht="11.25" customHeight="1">
      <c r="A230" s="155" t="s">
        <v>30</v>
      </c>
      <c r="B230" s="84"/>
      <c r="C230" s="84"/>
      <c r="D230" s="189">
        <f>SUM(D227:D229)</f>
        <v>375</v>
      </c>
      <c r="E230" s="193">
        <f aca="true" t="shared" si="58" ref="E230:S230">SUM(E227:E229)</f>
        <v>4.78</v>
      </c>
      <c r="F230" s="193">
        <f t="shared" si="58"/>
        <v>4.04</v>
      </c>
      <c r="G230" s="193">
        <f t="shared" si="58"/>
        <v>71.37</v>
      </c>
      <c r="H230" s="193">
        <f t="shared" si="58"/>
        <v>340.96000000000004</v>
      </c>
      <c r="I230" s="193">
        <f t="shared" si="58"/>
        <v>0.08333333333333334</v>
      </c>
      <c r="J230" s="193">
        <f t="shared" si="58"/>
        <v>0.05333333333333333</v>
      </c>
      <c r="K230" s="193">
        <f t="shared" si="58"/>
        <v>39.85</v>
      </c>
      <c r="L230" s="193">
        <f t="shared" si="58"/>
        <v>0.043333333333333335</v>
      </c>
      <c r="M230" s="193">
        <f t="shared" si="58"/>
        <v>1</v>
      </c>
      <c r="N230" s="193">
        <f t="shared" si="58"/>
        <v>41.4</v>
      </c>
      <c r="O230" s="193">
        <f t="shared" si="58"/>
        <v>102.43</v>
      </c>
      <c r="P230" s="193">
        <f t="shared" si="58"/>
        <v>0.9666666666666667</v>
      </c>
      <c r="Q230" s="193">
        <f t="shared" si="58"/>
        <v>0.0016666666666666668</v>
      </c>
      <c r="R230" s="193">
        <f t="shared" si="58"/>
        <v>26.86</v>
      </c>
      <c r="S230" s="193">
        <f t="shared" si="58"/>
        <v>2.09</v>
      </c>
      <c r="T230" s="49"/>
      <c r="U230" s="287"/>
      <c r="V230" s="287"/>
      <c r="W230" s="287"/>
    </row>
    <row r="231" spans="1:23" s="1" customFormat="1" ht="11.25" customHeight="1">
      <c r="A231" s="249" t="s">
        <v>73</v>
      </c>
      <c r="B231" s="250"/>
      <c r="C231" s="250"/>
      <c r="D231" s="251"/>
      <c r="E231" s="98">
        <f>E230/E233</f>
        <v>0.053111111111111116</v>
      </c>
      <c r="F231" s="55">
        <f aca="true" t="shared" si="59" ref="F231:S231">F230/F233</f>
        <v>0.04391304347826087</v>
      </c>
      <c r="G231" s="55">
        <f t="shared" si="59"/>
        <v>0.18634464751958227</v>
      </c>
      <c r="H231" s="55">
        <f t="shared" si="59"/>
        <v>0.1253529411764706</v>
      </c>
      <c r="I231" s="55">
        <f t="shared" si="59"/>
        <v>0.059523809523809534</v>
      </c>
      <c r="J231" s="55">
        <f t="shared" si="59"/>
        <v>0.033333333333333326</v>
      </c>
      <c r="K231" s="55">
        <f t="shared" si="59"/>
        <v>0.5692857142857143</v>
      </c>
      <c r="L231" s="55">
        <f t="shared" si="59"/>
        <v>0.04814814814814815</v>
      </c>
      <c r="M231" s="55">
        <f t="shared" si="59"/>
        <v>0.08333333333333333</v>
      </c>
      <c r="N231" s="55">
        <f t="shared" si="59"/>
        <v>0.034499999999999996</v>
      </c>
      <c r="O231" s="55">
        <f t="shared" si="59"/>
        <v>0.08535833333333334</v>
      </c>
      <c r="P231" s="55">
        <f t="shared" si="59"/>
        <v>0.06904761904761905</v>
      </c>
      <c r="Q231" s="55">
        <f t="shared" si="59"/>
        <v>0.016666666666666666</v>
      </c>
      <c r="R231" s="55">
        <f t="shared" si="59"/>
        <v>0.08953333333333333</v>
      </c>
      <c r="S231" s="55">
        <f t="shared" si="59"/>
        <v>0.11611111111111111</v>
      </c>
      <c r="T231" s="61"/>
      <c r="U231" s="81"/>
      <c r="V231" s="81"/>
      <c r="W231" s="81"/>
    </row>
    <row r="232" spans="1:23" s="1" customFormat="1" ht="11.25" customHeight="1">
      <c r="A232" s="246" t="s">
        <v>72</v>
      </c>
      <c r="B232" s="247"/>
      <c r="C232" s="247"/>
      <c r="D232" s="248"/>
      <c r="E232" s="50">
        <f aca="true" t="shared" si="60" ref="E232:S232">SUM(E210,E223,E230)</f>
        <v>53.410833333333336</v>
      </c>
      <c r="F232" s="49">
        <f t="shared" si="60"/>
        <v>56.381499999999996</v>
      </c>
      <c r="G232" s="49">
        <f t="shared" si="60"/>
        <v>287.6396666666667</v>
      </c>
      <c r="H232" s="49">
        <f t="shared" si="60"/>
        <v>1871.6355</v>
      </c>
      <c r="I232" s="50">
        <f t="shared" si="60"/>
        <v>0.9861666666666665</v>
      </c>
      <c r="J232" s="50">
        <f t="shared" si="60"/>
        <v>2.351166666666667</v>
      </c>
      <c r="K232" s="49">
        <f t="shared" si="60"/>
        <v>130.4835</v>
      </c>
      <c r="L232" s="50">
        <f t="shared" si="60"/>
        <v>7.029050000000001</v>
      </c>
      <c r="M232" s="50">
        <f t="shared" si="60"/>
        <v>11.431666666666668</v>
      </c>
      <c r="N232" s="49">
        <f t="shared" si="60"/>
        <v>769.4901666666667</v>
      </c>
      <c r="O232" s="49">
        <f t="shared" si="60"/>
        <v>1086.0494999999999</v>
      </c>
      <c r="P232" s="50">
        <f t="shared" si="60"/>
        <v>10.459</v>
      </c>
      <c r="Q232" s="51">
        <f t="shared" si="60"/>
        <v>0.08246666666666667</v>
      </c>
      <c r="R232" s="50">
        <f t="shared" si="60"/>
        <v>224.42400000000004</v>
      </c>
      <c r="S232" s="50">
        <f t="shared" si="60"/>
        <v>16.232</v>
      </c>
      <c r="T232" s="53"/>
      <c r="U232" s="98">
        <f>AVERAGE(H211,H252,H288,H327,H363)</f>
        <v>0.25205647419261823</v>
      </c>
      <c r="V232" s="98">
        <f>AVERAGE(H224,H263,H298,H338,H374)</f>
        <v>0.3139178227124183</v>
      </c>
      <c r="W232" s="98">
        <f>AVERAGE(H231,H269,H305,H343,H381)</f>
        <v>0.11599926470588236</v>
      </c>
    </row>
    <row r="233" spans="1:23" s="1" customFormat="1" ht="11.25" customHeight="1">
      <c r="A233" s="246" t="s">
        <v>74</v>
      </c>
      <c r="B233" s="247"/>
      <c r="C233" s="247"/>
      <c r="D233" s="248"/>
      <c r="E233" s="93">
        <v>90</v>
      </c>
      <c r="F233" s="90">
        <v>92</v>
      </c>
      <c r="G233" s="90">
        <v>383</v>
      </c>
      <c r="H233" s="90">
        <v>2720</v>
      </c>
      <c r="I233" s="93">
        <v>1.4</v>
      </c>
      <c r="J233" s="93">
        <v>1.6</v>
      </c>
      <c r="K233" s="91">
        <v>70</v>
      </c>
      <c r="L233" s="93">
        <v>0.9</v>
      </c>
      <c r="M233" s="91">
        <v>12</v>
      </c>
      <c r="N233" s="91">
        <v>1200</v>
      </c>
      <c r="O233" s="91">
        <v>1200</v>
      </c>
      <c r="P233" s="91">
        <v>14</v>
      </c>
      <c r="Q233" s="90">
        <v>0.1</v>
      </c>
      <c r="R233" s="91">
        <v>300</v>
      </c>
      <c r="S233" s="93">
        <v>18</v>
      </c>
      <c r="T233" s="21"/>
      <c r="U233" s="32"/>
      <c r="V233" s="32"/>
      <c r="W233" s="32"/>
    </row>
    <row r="234" spans="1:23" s="1" customFormat="1" ht="11.25" customHeight="1">
      <c r="A234" s="249" t="s">
        <v>73</v>
      </c>
      <c r="B234" s="250"/>
      <c r="C234" s="250"/>
      <c r="D234" s="251"/>
      <c r="E234" s="98">
        <f aca="true" t="shared" si="61" ref="E234:S234">E232/E233</f>
        <v>0.5934537037037038</v>
      </c>
      <c r="F234" s="55">
        <f t="shared" si="61"/>
        <v>0.6128423913043478</v>
      </c>
      <c r="G234" s="55">
        <f t="shared" si="61"/>
        <v>0.7510174064403831</v>
      </c>
      <c r="H234" s="55">
        <f t="shared" si="61"/>
        <v>0.6881012867647059</v>
      </c>
      <c r="I234" s="55">
        <f t="shared" si="61"/>
        <v>0.7044047619047619</v>
      </c>
      <c r="J234" s="55">
        <f t="shared" si="61"/>
        <v>1.4694791666666667</v>
      </c>
      <c r="K234" s="55">
        <f t="shared" si="61"/>
        <v>1.86405</v>
      </c>
      <c r="L234" s="57">
        <f>L232/L233</f>
        <v>7.810055555555556</v>
      </c>
      <c r="M234" s="55">
        <f t="shared" si="61"/>
        <v>0.952638888888889</v>
      </c>
      <c r="N234" s="55">
        <f t="shared" si="61"/>
        <v>0.6412418055555555</v>
      </c>
      <c r="O234" s="55">
        <f t="shared" si="61"/>
        <v>0.9050412499999999</v>
      </c>
      <c r="P234" s="55">
        <f t="shared" si="61"/>
        <v>0.7470714285714285</v>
      </c>
      <c r="Q234" s="57">
        <f t="shared" si="61"/>
        <v>0.8246666666666667</v>
      </c>
      <c r="R234" s="55">
        <f t="shared" si="61"/>
        <v>0.7480800000000001</v>
      </c>
      <c r="S234" s="57">
        <f t="shared" si="61"/>
        <v>0.9017777777777778</v>
      </c>
      <c r="T234" s="58"/>
      <c r="U234" s="59"/>
      <c r="V234" s="59"/>
      <c r="W234" s="59"/>
    </row>
    <row r="235" spans="1:23" s="1" customFormat="1" ht="11.25" customHeight="1">
      <c r="A235" s="156" t="s">
        <v>158</v>
      </c>
      <c r="B235" s="134"/>
      <c r="C235" s="135"/>
      <c r="D235" s="135"/>
      <c r="E235" s="136"/>
      <c r="F235" s="137"/>
      <c r="G235" s="138"/>
      <c r="H235" s="6"/>
      <c r="I235" s="6"/>
      <c r="J235" s="6"/>
      <c r="K235" s="6"/>
      <c r="L235" s="244"/>
      <c r="M235" s="244"/>
      <c r="N235" s="244"/>
      <c r="O235" s="244"/>
      <c r="P235" s="244"/>
      <c r="Q235" s="244"/>
      <c r="R235" s="244"/>
      <c r="S235" s="244"/>
      <c r="T235" s="17"/>
      <c r="U235" s="25"/>
      <c r="V235" s="25"/>
      <c r="W235" s="25"/>
    </row>
    <row r="236" spans="1:23" s="1" customFormat="1" ht="11.25" customHeight="1">
      <c r="A236" s="156"/>
      <c r="B236" s="134"/>
      <c r="C236" s="135"/>
      <c r="D236" s="135"/>
      <c r="E236" s="136"/>
      <c r="F236" s="137"/>
      <c r="G236" s="138"/>
      <c r="H236" s="92"/>
      <c r="I236" s="92"/>
      <c r="J236" s="92"/>
      <c r="K236" s="92"/>
      <c r="L236" s="244" t="s">
        <v>86</v>
      </c>
      <c r="M236" s="244"/>
      <c r="N236" s="244"/>
      <c r="O236" s="244"/>
      <c r="P236" s="244"/>
      <c r="Q236" s="244"/>
      <c r="R236" s="244"/>
      <c r="S236" s="244"/>
      <c r="T236" s="17"/>
      <c r="U236" s="25"/>
      <c r="V236" s="25"/>
      <c r="W236" s="25"/>
    </row>
    <row r="237" spans="1:23" s="1" customFormat="1" ht="11.25" customHeight="1">
      <c r="A237" s="256" t="s">
        <v>40</v>
      </c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18"/>
      <c r="U237" s="31"/>
      <c r="V237" s="31"/>
      <c r="W237" s="31"/>
    </row>
    <row r="238" spans="1:23" s="1" customFormat="1" ht="11.25" customHeight="1">
      <c r="A238" s="151" t="s">
        <v>64</v>
      </c>
      <c r="B238" s="70"/>
      <c r="C238" s="70"/>
      <c r="D238" s="2"/>
      <c r="E238" s="44"/>
      <c r="F238" s="243" t="s">
        <v>32</v>
      </c>
      <c r="G238" s="243"/>
      <c r="H238" s="243"/>
      <c r="I238" s="6"/>
      <c r="J238" s="6"/>
      <c r="K238" s="252" t="s">
        <v>1</v>
      </c>
      <c r="L238" s="252"/>
      <c r="M238" s="280" t="s">
        <v>82</v>
      </c>
      <c r="N238" s="280"/>
      <c r="O238" s="280"/>
      <c r="P238" s="280"/>
      <c r="Q238" s="6"/>
      <c r="R238" s="6"/>
      <c r="S238" s="6"/>
      <c r="T238" s="19"/>
      <c r="U238" s="26"/>
      <c r="V238" s="26"/>
      <c r="W238" s="26"/>
    </row>
    <row r="239" spans="1:23" s="1" customFormat="1" ht="11.25" customHeight="1">
      <c r="A239" s="152"/>
      <c r="B239" s="70"/>
      <c r="C239" s="70"/>
      <c r="D239" s="245" t="s">
        <v>2</v>
      </c>
      <c r="E239" s="245"/>
      <c r="F239" s="11">
        <v>2</v>
      </c>
      <c r="G239" s="6"/>
      <c r="H239" s="2"/>
      <c r="I239" s="2"/>
      <c r="J239" s="2"/>
      <c r="K239" s="245" t="s">
        <v>3</v>
      </c>
      <c r="L239" s="245"/>
      <c r="M239" s="243" t="s">
        <v>146</v>
      </c>
      <c r="N239" s="243"/>
      <c r="O239" s="243"/>
      <c r="P239" s="243"/>
      <c r="Q239" s="243"/>
      <c r="R239" s="243"/>
      <c r="S239" s="243"/>
      <c r="T239" s="20"/>
      <c r="U239" s="27"/>
      <c r="V239" s="27"/>
      <c r="W239" s="27"/>
    </row>
    <row r="240" spans="1:23" s="1" customFormat="1" ht="21.75" customHeight="1">
      <c r="A240" s="254" t="s">
        <v>4</v>
      </c>
      <c r="B240" s="265" t="s">
        <v>5</v>
      </c>
      <c r="C240" s="266"/>
      <c r="D240" s="254" t="s">
        <v>6</v>
      </c>
      <c r="E240" s="240" t="s">
        <v>7</v>
      </c>
      <c r="F240" s="241"/>
      <c r="G240" s="242"/>
      <c r="H240" s="254" t="s">
        <v>8</v>
      </c>
      <c r="I240" s="240" t="s">
        <v>9</v>
      </c>
      <c r="J240" s="241"/>
      <c r="K240" s="241"/>
      <c r="L240" s="241"/>
      <c r="M240" s="242"/>
      <c r="N240" s="240" t="s">
        <v>10</v>
      </c>
      <c r="O240" s="241"/>
      <c r="P240" s="241"/>
      <c r="Q240" s="241"/>
      <c r="R240" s="241"/>
      <c r="S240" s="242"/>
      <c r="T240" s="14"/>
      <c r="U240" s="28"/>
      <c r="V240" s="28"/>
      <c r="W240" s="28"/>
    </row>
    <row r="241" spans="1:23" s="1" customFormat="1" ht="21" customHeight="1">
      <c r="A241" s="255"/>
      <c r="B241" s="259"/>
      <c r="C241" s="260"/>
      <c r="D241" s="255"/>
      <c r="E241" s="119" t="s">
        <v>11</v>
      </c>
      <c r="F241" s="47" t="s">
        <v>12</v>
      </c>
      <c r="G241" s="47" t="s">
        <v>13</v>
      </c>
      <c r="H241" s="255"/>
      <c r="I241" s="47" t="s">
        <v>14</v>
      </c>
      <c r="J241" s="47" t="s">
        <v>66</v>
      </c>
      <c r="K241" s="47" t="s">
        <v>15</v>
      </c>
      <c r="L241" s="47" t="s">
        <v>16</v>
      </c>
      <c r="M241" s="47" t="s">
        <v>17</v>
      </c>
      <c r="N241" s="47" t="s">
        <v>18</v>
      </c>
      <c r="O241" s="47" t="s">
        <v>19</v>
      </c>
      <c r="P241" s="47" t="s">
        <v>67</v>
      </c>
      <c r="Q241" s="47" t="s">
        <v>68</v>
      </c>
      <c r="R241" s="47" t="s">
        <v>20</v>
      </c>
      <c r="S241" s="47" t="s">
        <v>21</v>
      </c>
      <c r="T241" s="14"/>
      <c r="U241" s="28"/>
      <c r="V241" s="28"/>
      <c r="W241" s="28"/>
    </row>
    <row r="242" spans="1:23" s="1" customFormat="1" ht="11.25" customHeight="1">
      <c r="A242" s="99">
        <v>1</v>
      </c>
      <c r="B242" s="235">
        <v>2</v>
      </c>
      <c r="C242" s="236"/>
      <c r="D242" s="48">
        <v>3</v>
      </c>
      <c r="E242" s="120">
        <v>4</v>
      </c>
      <c r="F242" s="48">
        <v>5</v>
      </c>
      <c r="G242" s="48">
        <v>6</v>
      </c>
      <c r="H242" s="48">
        <v>7</v>
      </c>
      <c r="I242" s="48">
        <v>8</v>
      </c>
      <c r="J242" s="48">
        <v>9</v>
      </c>
      <c r="K242" s="48">
        <v>10</v>
      </c>
      <c r="L242" s="48">
        <v>11</v>
      </c>
      <c r="M242" s="48">
        <v>12</v>
      </c>
      <c r="N242" s="48">
        <v>13</v>
      </c>
      <c r="O242" s="48">
        <v>14</v>
      </c>
      <c r="P242" s="48">
        <v>15</v>
      </c>
      <c r="Q242" s="48">
        <v>16</v>
      </c>
      <c r="R242" s="48">
        <v>17</v>
      </c>
      <c r="S242" s="48">
        <v>18</v>
      </c>
      <c r="T242" s="15"/>
      <c r="U242" s="29"/>
      <c r="V242" s="29"/>
      <c r="W242" s="29"/>
    </row>
    <row r="243" spans="1:23" s="1" customFormat="1" ht="11.25" customHeight="1">
      <c r="A243" s="237" t="s">
        <v>22</v>
      </c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9"/>
      <c r="T243" s="16"/>
      <c r="U243" s="30"/>
      <c r="V243" s="30"/>
      <c r="W243" s="30"/>
    </row>
    <row r="244" spans="1:23" s="1" customFormat="1" ht="24" customHeight="1">
      <c r="A244" s="184" t="s">
        <v>151</v>
      </c>
      <c r="B244" s="226" t="s">
        <v>152</v>
      </c>
      <c r="C244" s="227"/>
      <c r="D244" s="204">
        <v>50</v>
      </c>
      <c r="E244" s="205">
        <f>0.32*D244/40</f>
        <v>0.4</v>
      </c>
      <c r="F244" s="205">
        <f>0.04*D244/40</f>
        <v>0.05</v>
      </c>
      <c r="G244" s="205">
        <f>0.68*D244/40</f>
        <v>0.85</v>
      </c>
      <c r="H244" s="205">
        <f aca="true" t="shared" si="62" ref="H244:H250">E244*4+F244*9+G244*4</f>
        <v>5.45</v>
      </c>
      <c r="I244" s="206">
        <f>0.008*D244/40</f>
        <v>0.01</v>
      </c>
      <c r="J244" s="206">
        <f>0.008*D244/40</f>
        <v>0.01</v>
      </c>
      <c r="K244" s="205">
        <f>2*D244/40</f>
        <v>2.5</v>
      </c>
      <c r="L244" s="206">
        <f>0.002*D244/40</f>
        <v>0.0025</v>
      </c>
      <c r="M244" s="204">
        <f>0.04*D244/40</f>
        <v>0.05</v>
      </c>
      <c r="N244" s="205">
        <f>9.2*D244/40</f>
        <v>11.499999999999998</v>
      </c>
      <c r="O244" s="205">
        <f>9.6*D244/40</f>
        <v>12</v>
      </c>
      <c r="P244" s="206"/>
      <c r="Q244" s="206"/>
      <c r="R244" s="205">
        <f>5.6*D244/40</f>
        <v>7</v>
      </c>
      <c r="S244" s="205">
        <f>0.24*D244/40</f>
        <v>0.3</v>
      </c>
      <c r="T244" s="16"/>
      <c r="U244" s="30"/>
      <c r="V244" s="30"/>
      <c r="W244" s="30"/>
    </row>
    <row r="245" spans="1:23" s="1" customFormat="1" ht="21.75" customHeight="1">
      <c r="A245" s="157">
        <v>71</v>
      </c>
      <c r="B245" s="224" t="s">
        <v>81</v>
      </c>
      <c r="C245" s="225"/>
      <c r="D245" s="139">
        <v>50</v>
      </c>
      <c r="E245" s="140">
        <f>0.5*D245/60</f>
        <v>0.4166666666666667</v>
      </c>
      <c r="F245" s="140">
        <f>0.03*D245/30</f>
        <v>0.05</v>
      </c>
      <c r="G245" s="140">
        <f>1.7*D245/60</f>
        <v>1.4166666666666667</v>
      </c>
      <c r="H245" s="140">
        <f t="shared" si="62"/>
        <v>7.783333333333333</v>
      </c>
      <c r="I245" s="141">
        <v>0.009</v>
      </c>
      <c r="J245" s="140">
        <v>0.01</v>
      </c>
      <c r="K245" s="142">
        <v>3</v>
      </c>
      <c r="L245" s="141">
        <v>0.003</v>
      </c>
      <c r="M245" s="139">
        <v>0.03</v>
      </c>
      <c r="N245" s="140">
        <v>6.9</v>
      </c>
      <c r="O245" s="140">
        <v>12.6</v>
      </c>
      <c r="P245" s="141">
        <v>0.064</v>
      </c>
      <c r="Q245" s="141">
        <v>0.001</v>
      </c>
      <c r="R245" s="140">
        <v>4.2</v>
      </c>
      <c r="S245" s="140">
        <v>0.18</v>
      </c>
      <c r="T245" s="21"/>
      <c r="U245" s="32"/>
      <c r="V245" s="32"/>
      <c r="W245" s="32"/>
    </row>
    <row r="246" spans="1:23" s="1" customFormat="1" ht="9.75">
      <c r="A246" s="117">
        <v>15</v>
      </c>
      <c r="B246" s="224" t="s">
        <v>108</v>
      </c>
      <c r="C246" s="225"/>
      <c r="D246" s="80">
        <v>25</v>
      </c>
      <c r="E246" s="77">
        <f>2.32*D246/10</f>
        <v>5.799999999999999</v>
      </c>
      <c r="F246" s="77">
        <f>3.4*D246/10</f>
        <v>8.5</v>
      </c>
      <c r="G246" s="77">
        <f>0.01*D246/10</f>
        <v>0.025</v>
      </c>
      <c r="H246" s="77">
        <f t="shared" si="62"/>
        <v>99.79999999999998</v>
      </c>
      <c r="I246" s="77">
        <f>0.004*D246/10</f>
        <v>0.01</v>
      </c>
      <c r="J246" s="77">
        <f>0.03*D246/10</f>
        <v>0.075</v>
      </c>
      <c r="K246" s="77">
        <f>0.07*D246/10</f>
        <v>0.17500000000000002</v>
      </c>
      <c r="L246" s="79">
        <f>0.023*D246/10</f>
        <v>0.057499999999999996</v>
      </c>
      <c r="M246" s="77">
        <f>0.05*D246/10</f>
        <v>0.125</v>
      </c>
      <c r="N246" s="77">
        <f>88*D246/10</f>
        <v>220</v>
      </c>
      <c r="O246" s="77">
        <f>50*D246/10</f>
        <v>125</v>
      </c>
      <c r="P246" s="77">
        <f>0.4*D246/10</f>
        <v>1</v>
      </c>
      <c r="Q246" s="79">
        <f>0.02*D246/10</f>
        <v>0.05</v>
      </c>
      <c r="R246" s="77">
        <f>3.5*D246/10</f>
        <v>8.75</v>
      </c>
      <c r="S246" s="77">
        <f>0.13*D246/10</f>
        <v>0.325</v>
      </c>
      <c r="T246" s="95"/>
      <c r="U246" s="96"/>
      <c r="V246" s="96"/>
      <c r="W246" s="96"/>
    </row>
    <row r="247" spans="1:23" s="6" customFormat="1" ht="20.25" customHeight="1">
      <c r="A247" s="117">
        <v>237</v>
      </c>
      <c r="B247" s="224" t="s">
        <v>147</v>
      </c>
      <c r="C247" s="225"/>
      <c r="D247" s="80">
        <v>100</v>
      </c>
      <c r="E247" s="77">
        <f>D247*7.18/80</f>
        <v>8.975</v>
      </c>
      <c r="F247" s="77">
        <f>D247*9.5/80</f>
        <v>11.875</v>
      </c>
      <c r="G247" s="77">
        <f>8.29*D247/80</f>
        <v>10.362499999999999</v>
      </c>
      <c r="H247" s="78">
        <f t="shared" si="62"/>
        <v>184.225</v>
      </c>
      <c r="I247" s="77">
        <f>D247*0.04/80</f>
        <v>0.05</v>
      </c>
      <c r="J247" s="77">
        <f>D247*0.05/80</f>
        <v>0.0625</v>
      </c>
      <c r="K247" s="77">
        <f>D247*0.7/80</f>
        <v>0.875</v>
      </c>
      <c r="L247" s="77">
        <f>D247*0.1/80</f>
        <v>0.125</v>
      </c>
      <c r="M247" s="77">
        <f>D247*0.1/80</f>
        <v>0.125</v>
      </c>
      <c r="N247" s="78">
        <f>D247*22.5/80</f>
        <v>28.125</v>
      </c>
      <c r="O247" s="78">
        <f>D247*47.1/80</f>
        <v>58.875</v>
      </c>
      <c r="P247" s="78">
        <v>0.2196</v>
      </c>
      <c r="Q247" s="79">
        <v>0.009</v>
      </c>
      <c r="R247" s="77">
        <f>D247*6.45/80</f>
        <v>8.0625</v>
      </c>
      <c r="S247" s="77">
        <f>D247*0.2/80</f>
        <v>0.25</v>
      </c>
      <c r="T247" s="21"/>
      <c r="U247" s="32"/>
      <c r="V247" s="32"/>
      <c r="W247" s="32"/>
    </row>
    <row r="248" spans="1:23" s="6" customFormat="1" ht="12.75" customHeight="1">
      <c r="A248" s="99">
        <v>175</v>
      </c>
      <c r="B248" s="231" t="s">
        <v>79</v>
      </c>
      <c r="C248" s="232"/>
      <c r="D248" s="5">
        <v>180</v>
      </c>
      <c r="E248" s="93">
        <f>3.45*D248/150</f>
        <v>4.14</v>
      </c>
      <c r="F248" s="93">
        <f>4.95*D248/150</f>
        <v>5.94</v>
      </c>
      <c r="G248" s="4">
        <f>25.18*D248/150</f>
        <v>30.215999999999998</v>
      </c>
      <c r="H248" s="93">
        <f t="shared" si="62"/>
        <v>190.884</v>
      </c>
      <c r="I248" s="94">
        <f>0.14*D248/150</f>
        <v>0.168</v>
      </c>
      <c r="J248" s="94">
        <f>0.1*D248/150</f>
        <v>0.12</v>
      </c>
      <c r="K248" s="94">
        <f>3.35*D248/150</f>
        <v>4.02</v>
      </c>
      <c r="L248" s="12">
        <f>0.037*D248/150</f>
        <v>0.044399999999999995</v>
      </c>
      <c r="M248" s="3">
        <v>0</v>
      </c>
      <c r="N248" s="4">
        <f>127.4*D248/150</f>
        <v>152.88</v>
      </c>
      <c r="O248" s="4">
        <f>183.5*D248/150</f>
        <v>220.2</v>
      </c>
      <c r="P248" s="5">
        <v>0</v>
      </c>
      <c r="Q248" s="5">
        <v>0</v>
      </c>
      <c r="R248" s="93">
        <f>55.1*D248/150</f>
        <v>66.12</v>
      </c>
      <c r="S248" s="9">
        <f>0.3*D248/150</f>
        <v>0.36</v>
      </c>
      <c r="T248" s="21"/>
      <c r="U248" s="32"/>
      <c r="V248" s="32"/>
      <c r="W248" s="32"/>
    </row>
    <row r="249" spans="1:23" s="6" customFormat="1" ht="11.25" customHeight="1">
      <c r="A249" s="117">
        <v>377</v>
      </c>
      <c r="B249" s="233" t="s">
        <v>46</v>
      </c>
      <c r="C249" s="233"/>
      <c r="D249" s="91" t="s">
        <v>52</v>
      </c>
      <c r="E249" s="93">
        <v>0.26</v>
      </c>
      <c r="F249" s="93">
        <v>0.06</v>
      </c>
      <c r="G249" s="93">
        <v>15.22</v>
      </c>
      <c r="H249" s="93">
        <f t="shared" si="62"/>
        <v>62.46</v>
      </c>
      <c r="I249" s="93"/>
      <c r="J249" s="93">
        <v>0.01</v>
      </c>
      <c r="K249" s="93">
        <v>2.9</v>
      </c>
      <c r="L249" s="89">
        <v>0</v>
      </c>
      <c r="M249" s="93">
        <v>0.06</v>
      </c>
      <c r="N249" s="93">
        <v>8.05</v>
      </c>
      <c r="O249" s="93">
        <v>9.78</v>
      </c>
      <c r="P249" s="93">
        <v>0.017</v>
      </c>
      <c r="Q249" s="94">
        <v>0</v>
      </c>
      <c r="R249" s="93">
        <v>5.24</v>
      </c>
      <c r="S249" s="93">
        <v>0.87</v>
      </c>
      <c r="T249" s="21"/>
      <c r="U249" s="32"/>
      <c r="V249" s="32"/>
      <c r="W249" s="32"/>
    </row>
    <row r="250" spans="1:23" s="6" customFormat="1" ht="11.25" customHeight="1">
      <c r="A250" s="99" t="s">
        <v>87</v>
      </c>
      <c r="B250" s="224" t="s">
        <v>60</v>
      </c>
      <c r="C250" s="225"/>
      <c r="D250" s="91">
        <v>40</v>
      </c>
      <c r="E250" s="93">
        <f>1.52*D250/30</f>
        <v>2.0266666666666664</v>
      </c>
      <c r="F250" s="94">
        <f>0.16*D250/30</f>
        <v>0.21333333333333335</v>
      </c>
      <c r="G250" s="94">
        <f>9.84*D250/30</f>
        <v>13.120000000000001</v>
      </c>
      <c r="H250" s="94">
        <f t="shared" si="62"/>
        <v>62.50666666666667</v>
      </c>
      <c r="I250" s="94">
        <f>0.02*D250/30</f>
        <v>0.02666666666666667</v>
      </c>
      <c r="J250" s="94">
        <f>0.01*D250/30</f>
        <v>0.013333333333333334</v>
      </c>
      <c r="K250" s="94">
        <f>0.44*D250/30</f>
        <v>0.5866666666666667</v>
      </c>
      <c r="L250" s="94">
        <v>0</v>
      </c>
      <c r="M250" s="94">
        <f>0.7*D250/30</f>
        <v>0.9333333333333333</v>
      </c>
      <c r="N250" s="94">
        <f>4*D250/30</f>
        <v>5.333333333333333</v>
      </c>
      <c r="O250" s="94">
        <f>13*D250/30</f>
        <v>17.333333333333332</v>
      </c>
      <c r="P250" s="94">
        <f>0.008*D250/30</f>
        <v>0.010666666666666666</v>
      </c>
      <c r="Q250" s="94">
        <f>0.001*D250/30</f>
        <v>0.0013333333333333333</v>
      </c>
      <c r="R250" s="94">
        <v>0</v>
      </c>
      <c r="S250" s="94">
        <f>0.22*D250/30</f>
        <v>0.29333333333333333</v>
      </c>
      <c r="T250" s="21"/>
      <c r="U250" s="32"/>
      <c r="V250" s="32"/>
      <c r="W250" s="32"/>
    </row>
    <row r="251" spans="1:23" s="6" customFormat="1" ht="11.25" customHeight="1">
      <c r="A251" s="155" t="s">
        <v>24</v>
      </c>
      <c r="B251" s="85"/>
      <c r="C251" s="85"/>
      <c r="D251" s="171">
        <v>599</v>
      </c>
      <c r="E251" s="50">
        <f>SUM(E245:E250)</f>
        <v>21.618333333333336</v>
      </c>
      <c r="F251" s="50">
        <f>SUM(F245:F250)</f>
        <v>26.638333333333335</v>
      </c>
      <c r="G251" s="50">
        <f>SUM(G245:G250)</f>
        <v>70.36016666666666</v>
      </c>
      <c r="H251" s="50">
        <f>SUM(H245:H250)</f>
        <v>607.659</v>
      </c>
      <c r="I251" s="50">
        <f aca="true" t="shared" si="63" ref="I251:S251">SUM(I245:I250)</f>
        <v>0.26366666666666666</v>
      </c>
      <c r="J251" s="50">
        <f t="shared" si="63"/>
        <v>0.2908333333333333</v>
      </c>
      <c r="K251" s="50">
        <f t="shared" si="63"/>
        <v>11.556666666666667</v>
      </c>
      <c r="L251" s="50">
        <f t="shared" si="63"/>
        <v>0.2299</v>
      </c>
      <c r="M251" s="50">
        <f t="shared" si="63"/>
        <v>1.2733333333333334</v>
      </c>
      <c r="N251" s="49">
        <f t="shared" si="63"/>
        <v>421.2883333333333</v>
      </c>
      <c r="O251" s="50">
        <f t="shared" si="63"/>
        <v>443.78833333333324</v>
      </c>
      <c r="P251" s="50">
        <f t="shared" si="63"/>
        <v>1.3112666666666666</v>
      </c>
      <c r="Q251" s="50">
        <f t="shared" si="63"/>
        <v>0.06133333333333334</v>
      </c>
      <c r="R251" s="50">
        <f t="shared" si="63"/>
        <v>92.3725</v>
      </c>
      <c r="S251" s="50">
        <f t="shared" si="63"/>
        <v>2.2783333333333333</v>
      </c>
      <c r="T251" s="49"/>
      <c r="U251" s="52"/>
      <c r="V251" s="52"/>
      <c r="W251" s="52"/>
    </row>
    <row r="252" spans="1:23" s="6" customFormat="1" ht="11.25" customHeight="1">
      <c r="A252" s="228" t="s">
        <v>73</v>
      </c>
      <c r="B252" s="229"/>
      <c r="C252" s="229"/>
      <c r="D252" s="230"/>
      <c r="E252" s="126">
        <f aca="true" t="shared" si="64" ref="E252:S252">E251/E271</f>
        <v>0.24020370370370372</v>
      </c>
      <c r="F252" s="55">
        <f t="shared" si="64"/>
        <v>0.28954710144927537</v>
      </c>
      <c r="G252" s="55">
        <f t="shared" si="64"/>
        <v>0.18370800696257614</v>
      </c>
      <c r="H252" s="55">
        <f t="shared" si="64"/>
        <v>0.22340404411764705</v>
      </c>
      <c r="I252" s="55">
        <f t="shared" si="64"/>
        <v>0.18833333333333335</v>
      </c>
      <c r="J252" s="55">
        <f t="shared" si="64"/>
        <v>0.1817708333333333</v>
      </c>
      <c r="K252" s="55">
        <f t="shared" si="64"/>
        <v>0.1650952380952381</v>
      </c>
      <c r="L252" s="55">
        <f t="shared" si="64"/>
        <v>0.2554444444444444</v>
      </c>
      <c r="M252" s="55">
        <f t="shared" si="64"/>
        <v>0.10611111111111111</v>
      </c>
      <c r="N252" s="55">
        <f t="shared" si="64"/>
        <v>0.3510736111111111</v>
      </c>
      <c r="O252" s="55">
        <f t="shared" si="64"/>
        <v>0.36982361111111106</v>
      </c>
      <c r="P252" s="55">
        <f t="shared" si="64"/>
        <v>0.09366190476190475</v>
      </c>
      <c r="Q252" s="55">
        <f t="shared" si="64"/>
        <v>0.6133333333333333</v>
      </c>
      <c r="R252" s="55">
        <f t="shared" si="64"/>
        <v>0.30790833333333334</v>
      </c>
      <c r="S252" s="55">
        <f t="shared" si="64"/>
        <v>0.12657407407407406</v>
      </c>
      <c r="T252" s="61"/>
      <c r="U252" s="52"/>
      <c r="V252" s="52"/>
      <c r="W252" s="52"/>
    </row>
    <row r="253" spans="1:23" s="92" customFormat="1" ht="11.25" customHeight="1">
      <c r="A253" s="154" t="s">
        <v>107</v>
      </c>
      <c r="B253" s="109"/>
      <c r="C253" s="109"/>
      <c r="D253" s="148"/>
      <c r="E253" s="50">
        <f>E244+E246+E247+E248+E249+E250</f>
        <v>21.601666666666667</v>
      </c>
      <c r="F253" s="50">
        <f aca="true" t="shared" si="65" ref="F253:S253">F244+F246+F247+F248+F249+F250</f>
        <v>26.638333333333335</v>
      </c>
      <c r="G253" s="50">
        <f t="shared" si="65"/>
        <v>69.7935</v>
      </c>
      <c r="H253" s="50">
        <f t="shared" si="65"/>
        <v>605.3256666666666</v>
      </c>
      <c r="I253" s="50">
        <f t="shared" si="65"/>
        <v>0.26466666666666666</v>
      </c>
      <c r="J253" s="50">
        <f t="shared" si="65"/>
        <v>0.2908333333333333</v>
      </c>
      <c r="K253" s="50">
        <f t="shared" si="65"/>
        <v>11.056666666666665</v>
      </c>
      <c r="L253" s="50">
        <f t="shared" si="65"/>
        <v>0.2294</v>
      </c>
      <c r="M253" s="50">
        <f t="shared" si="65"/>
        <v>1.2933333333333334</v>
      </c>
      <c r="N253" s="50">
        <f t="shared" si="65"/>
        <v>425.8883333333333</v>
      </c>
      <c r="O253" s="50">
        <f t="shared" si="65"/>
        <v>443.1883333333333</v>
      </c>
      <c r="P253" s="50">
        <f t="shared" si="65"/>
        <v>1.2472666666666665</v>
      </c>
      <c r="Q253" s="50">
        <f t="shared" si="65"/>
        <v>0.060333333333333336</v>
      </c>
      <c r="R253" s="50">
        <f t="shared" si="65"/>
        <v>95.1725</v>
      </c>
      <c r="S253" s="50">
        <f t="shared" si="65"/>
        <v>2.3983333333333334</v>
      </c>
      <c r="T253" s="61"/>
      <c r="U253" s="52"/>
      <c r="V253" s="52"/>
      <c r="W253" s="52"/>
    </row>
    <row r="254" spans="1:23" s="6" customFormat="1" ht="11.25" customHeight="1">
      <c r="A254" s="277" t="s">
        <v>27</v>
      </c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9"/>
      <c r="T254" s="22"/>
      <c r="U254" s="33"/>
      <c r="V254" s="33"/>
      <c r="W254" s="33"/>
    </row>
    <row r="255" spans="1:23" s="92" customFormat="1" ht="11.25" customHeight="1">
      <c r="A255" s="99">
        <v>67</v>
      </c>
      <c r="B255" s="288" t="s">
        <v>120</v>
      </c>
      <c r="C255" s="289"/>
      <c r="D255" s="88">
        <v>100</v>
      </c>
      <c r="E255" s="127">
        <f>1.5*D255/60</f>
        <v>2.5</v>
      </c>
      <c r="F255" s="127">
        <f>3.47*D255/60</f>
        <v>5.783333333333333</v>
      </c>
      <c r="G255" s="100">
        <f>6.77*D255/60</f>
        <v>11.283333333333333</v>
      </c>
      <c r="H255" s="93">
        <f aca="true" t="shared" si="66" ref="H255:H261">E255*4+F255*9+G255*4</f>
        <v>107.18333333333334</v>
      </c>
      <c r="I255" s="127">
        <f>0.04*D255/60</f>
        <v>0.06666666666666667</v>
      </c>
      <c r="J255" s="88">
        <f>0.03*D255/60</f>
        <v>0.05</v>
      </c>
      <c r="K255" s="127">
        <f>8.6*D255/60</f>
        <v>14.333333333333334</v>
      </c>
      <c r="L255" s="127">
        <f>0.74*D255/60</f>
        <v>1.2333333333333334</v>
      </c>
      <c r="M255" s="127">
        <f>0.2*D255/60</f>
        <v>0.3333333333333333</v>
      </c>
      <c r="N255" s="100">
        <f>23.39*D255/60</f>
        <v>38.983333333333334</v>
      </c>
      <c r="O255" s="100">
        <f>34.04*D255/60</f>
        <v>56.733333333333334</v>
      </c>
      <c r="P255" s="127">
        <f>0.01*D255/60</f>
        <v>0.016666666666666666</v>
      </c>
      <c r="Q255" s="127">
        <f>0.04*D255/60</f>
        <v>0.06666666666666667</v>
      </c>
      <c r="R255" s="127">
        <f>15.61*D255/60</f>
        <v>26.016666666666666</v>
      </c>
      <c r="S255" s="127">
        <f>0.7*D255/60</f>
        <v>1.1666666666666667</v>
      </c>
      <c r="T255" s="22"/>
      <c r="U255" s="33"/>
      <c r="V255" s="33"/>
      <c r="W255" s="33"/>
    </row>
    <row r="256" spans="1:23" s="92" customFormat="1" ht="23.25" customHeight="1">
      <c r="A256" s="99">
        <v>113</v>
      </c>
      <c r="B256" s="231" t="s">
        <v>63</v>
      </c>
      <c r="C256" s="232"/>
      <c r="D256" s="89" t="s">
        <v>143</v>
      </c>
      <c r="E256" s="93">
        <v>8.71</v>
      </c>
      <c r="F256" s="94">
        <v>8.77</v>
      </c>
      <c r="G256" s="94">
        <v>23.67</v>
      </c>
      <c r="H256" s="94">
        <f t="shared" si="66"/>
        <v>208.45</v>
      </c>
      <c r="I256" s="94">
        <v>0.23</v>
      </c>
      <c r="J256" s="94">
        <v>0.21</v>
      </c>
      <c r="K256" s="94">
        <v>5.302</v>
      </c>
      <c r="L256" s="94">
        <v>1.04</v>
      </c>
      <c r="M256" s="94">
        <v>0.379</v>
      </c>
      <c r="N256" s="94">
        <v>43.8</v>
      </c>
      <c r="O256" s="94">
        <v>95.75</v>
      </c>
      <c r="P256" s="94">
        <v>0.13</v>
      </c>
      <c r="Q256" s="94">
        <v>0.001</v>
      </c>
      <c r="R256" s="94">
        <v>18.3</v>
      </c>
      <c r="S256" s="94">
        <v>1.25</v>
      </c>
      <c r="T256" s="95"/>
      <c r="U256" s="96"/>
      <c r="V256" s="96"/>
      <c r="W256" s="96"/>
    </row>
    <row r="257" spans="1:23" s="92" customFormat="1" ht="12.75" customHeight="1">
      <c r="A257" s="99">
        <v>293</v>
      </c>
      <c r="B257" s="231" t="s">
        <v>93</v>
      </c>
      <c r="C257" s="232"/>
      <c r="D257" s="91">
        <v>100</v>
      </c>
      <c r="E257" s="77">
        <f>D257*14.882/90</f>
        <v>16.535555555555558</v>
      </c>
      <c r="F257" s="77">
        <f>D257*14.641/90</f>
        <v>16.267777777777777</v>
      </c>
      <c r="G257" s="77">
        <f>D257*0.15/80</f>
        <v>0.1875</v>
      </c>
      <c r="H257" s="77">
        <f t="shared" si="66"/>
        <v>213.3022222222222</v>
      </c>
      <c r="I257" s="77">
        <f>D257*0.06/80</f>
        <v>0.075</v>
      </c>
      <c r="J257" s="77">
        <f>0.13*D257/80</f>
        <v>0.1625</v>
      </c>
      <c r="K257" s="77">
        <f>D257*0.02/80</f>
        <v>0.025</v>
      </c>
      <c r="L257" s="79">
        <f>0.0115*D257/90</f>
        <v>0.012777777777777777</v>
      </c>
      <c r="M257" s="79">
        <f>0.115*D257/90</f>
        <v>0.12777777777777777</v>
      </c>
      <c r="N257" s="77">
        <f>D257*11.3/80</f>
        <v>14.125</v>
      </c>
      <c r="O257" s="77">
        <f>D257*106.76/80</f>
        <v>133.45</v>
      </c>
      <c r="P257" s="79">
        <f>0.826*D257/80</f>
        <v>1.0325</v>
      </c>
      <c r="Q257" s="80">
        <v>0</v>
      </c>
      <c r="R257" s="77">
        <f>D257*13.82/80</f>
        <v>17.275</v>
      </c>
      <c r="S257" s="77">
        <f>D257*1.011/80</f>
        <v>1.26375</v>
      </c>
      <c r="T257" s="95"/>
      <c r="U257" s="96"/>
      <c r="V257" s="96"/>
      <c r="W257" s="96"/>
    </row>
    <row r="258" spans="1:23" s="92" customFormat="1" ht="12.75" customHeight="1">
      <c r="A258" s="99">
        <v>139</v>
      </c>
      <c r="B258" s="231" t="s">
        <v>92</v>
      </c>
      <c r="C258" s="232"/>
      <c r="D258" s="91">
        <v>180</v>
      </c>
      <c r="E258" s="93">
        <f>2.77*D258/150</f>
        <v>3.3240000000000003</v>
      </c>
      <c r="F258" s="93">
        <f>4.84*D258/150</f>
        <v>5.808</v>
      </c>
      <c r="G258" s="93">
        <f>10.78*D258/150</f>
        <v>12.936</v>
      </c>
      <c r="H258" s="93">
        <f t="shared" si="66"/>
        <v>117.312</v>
      </c>
      <c r="I258" s="93">
        <f>0.77*D258/180</f>
        <v>0.77</v>
      </c>
      <c r="J258" s="93">
        <f>0.16*D258/180</f>
        <v>0.16</v>
      </c>
      <c r="K258" s="89">
        <v>0.16</v>
      </c>
      <c r="L258" s="89">
        <f>0.03*D258/180</f>
        <v>0.029999999999999995</v>
      </c>
      <c r="M258" s="94">
        <v>0.01</v>
      </c>
      <c r="N258" s="93">
        <f>73.05*D258/150</f>
        <v>87.66</v>
      </c>
      <c r="O258" s="93">
        <f>54*D258/150</f>
        <v>64.8</v>
      </c>
      <c r="P258" s="90">
        <v>3.5</v>
      </c>
      <c r="Q258" s="94">
        <v>0.017</v>
      </c>
      <c r="R258" s="93">
        <f>27.75*D258/150</f>
        <v>33.3</v>
      </c>
      <c r="S258" s="93">
        <f>1.09*D258/150</f>
        <v>1.308</v>
      </c>
      <c r="T258" s="95"/>
      <c r="U258" s="96"/>
      <c r="V258" s="96"/>
      <c r="W258" s="96"/>
    </row>
    <row r="259" spans="1:23" s="6" customFormat="1" ht="21.75" customHeight="1">
      <c r="A259" s="99">
        <v>349</v>
      </c>
      <c r="B259" s="231" t="s">
        <v>51</v>
      </c>
      <c r="C259" s="232"/>
      <c r="D259" s="91">
        <v>200</v>
      </c>
      <c r="E259" s="93">
        <v>0.22</v>
      </c>
      <c r="F259" s="89"/>
      <c r="G259" s="93">
        <v>24.42</v>
      </c>
      <c r="H259" s="93">
        <f t="shared" si="66"/>
        <v>98.56</v>
      </c>
      <c r="I259" s="89"/>
      <c r="J259" s="89"/>
      <c r="K259" s="93">
        <v>26.11</v>
      </c>
      <c r="L259" s="89"/>
      <c r="M259" s="89"/>
      <c r="N259" s="90">
        <v>22.6</v>
      </c>
      <c r="O259" s="90">
        <v>7.7</v>
      </c>
      <c r="P259" s="91">
        <v>0</v>
      </c>
      <c r="Q259" s="91">
        <v>0</v>
      </c>
      <c r="R259" s="90">
        <v>3</v>
      </c>
      <c r="S259" s="93">
        <v>0.66</v>
      </c>
      <c r="T259" s="21"/>
      <c r="U259" s="32"/>
      <c r="V259" s="32"/>
      <c r="W259" s="32"/>
    </row>
    <row r="260" spans="1:23" s="6" customFormat="1" ht="11.25" customHeight="1">
      <c r="A260" s="99" t="s">
        <v>87</v>
      </c>
      <c r="B260" s="231" t="s">
        <v>47</v>
      </c>
      <c r="C260" s="232"/>
      <c r="D260" s="91">
        <v>40</v>
      </c>
      <c r="E260" s="93">
        <f>2.64*D260/40</f>
        <v>2.64</v>
      </c>
      <c r="F260" s="93">
        <f>0.48*D260/40</f>
        <v>0.48</v>
      </c>
      <c r="G260" s="93">
        <f>13.68*D260/40</f>
        <v>13.680000000000001</v>
      </c>
      <c r="H260" s="90">
        <f t="shared" si="66"/>
        <v>69.60000000000001</v>
      </c>
      <c r="I260" s="89">
        <f>0.08*D260/40</f>
        <v>0.08</v>
      </c>
      <c r="J260" s="93">
        <f>0.04*D260/40</f>
        <v>0.04</v>
      </c>
      <c r="K260" s="91">
        <v>0</v>
      </c>
      <c r="L260" s="91">
        <v>0</v>
      </c>
      <c r="M260" s="93">
        <f>2.4*D260/100</f>
        <v>0.96</v>
      </c>
      <c r="N260" s="93">
        <f>14*D260/40</f>
        <v>14</v>
      </c>
      <c r="O260" s="93">
        <f>63.2*D260/40</f>
        <v>63.2</v>
      </c>
      <c r="P260" s="93">
        <f>1.2*D260/40</f>
        <v>1.2</v>
      </c>
      <c r="Q260" s="94">
        <f>0.001*D260/40</f>
        <v>0.001</v>
      </c>
      <c r="R260" s="93">
        <f>9.4*D260/40</f>
        <v>9.4</v>
      </c>
      <c r="S260" s="89">
        <f>0.78*D260/40</f>
        <v>0.78</v>
      </c>
      <c r="T260" s="38"/>
      <c r="U260" s="39"/>
      <c r="V260" s="39"/>
      <c r="W260" s="39"/>
    </row>
    <row r="261" spans="1:23" s="6" customFormat="1" ht="11.25" customHeight="1">
      <c r="A261" s="99" t="s">
        <v>87</v>
      </c>
      <c r="B261" s="231" t="s">
        <v>60</v>
      </c>
      <c r="C261" s="232"/>
      <c r="D261" s="91">
        <v>40</v>
      </c>
      <c r="E261" s="93">
        <f>1.52*D261/30</f>
        <v>2.0266666666666664</v>
      </c>
      <c r="F261" s="94">
        <f>0.16*D261/30</f>
        <v>0.21333333333333335</v>
      </c>
      <c r="G261" s="94">
        <f>9.84*D261/30</f>
        <v>13.120000000000001</v>
      </c>
      <c r="H261" s="94">
        <f t="shared" si="66"/>
        <v>62.50666666666667</v>
      </c>
      <c r="I261" s="94">
        <f>0.02*D261/30</f>
        <v>0.02666666666666667</v>
      </c>
      <c r="J261" s="94">
        <f>0.01*D261/30</f>
        <v>0.013333333333333334</v>
      </c>
      <c r="K261" s="94">
        <f>0.44*D261/30</f>
        <v>0.5866666666666667</v>
      </c>
      <c r="L261" s="94">
        <v>0</v>
      </c>
      <c r="M261" s="94">
        <f>0.7*D261/30</f>
        <v>0.9333333333333333</v>
      </c>
      <c r="N261" s="94">
        <f>4*D261/30</f>
        <v>5.333333333333333</v>
      </c>
      <c r="O261" s="94">
        <f>13*D261/30</f>
        <v>17.333333333333332</v>
      </c>
      <c r="P261" s="94">
        <f>0.008*D261/30</f>
        <v>0.010666666666666666</v>
      </c>
      <c r="Q261" s="94">
        <f>0.001*D261/30</f>
        <v>0.0013333333333333333</v>
      </c>
      <c r="R261" s="94">
        <v>0</v>
      </c>
      <c r="S261" s="94">
        <f>0.22*D261/30</f>
        <v>0.29333333333333333</v>
      </c>
      <c r="T261" s="21"/>
      <c r="U261" s="32"/>
      <c r="V261" s="32"/>
      <c r="W261" s="32"/>
    </row>
    <row r="262" spans="1:23" s="6" customFormat="1" ht="11.25" customHeight="1">
      <c r="A262" s="155" t="s">
        <v>28</v>
      </c>
      <c r="B262" s="84"/>
      <c r="C262" s="84"/>
      <c r="D262" s="180">
        <v>925</v>
      </c>
      <c r="E262" s="50">
        <f aca="true" t="shared" si="67" ref="E262:S262">SUM(E255:E261)</f>
        <v>35.95622222222222</v>
      </c>
      <c r="F262" s="49">
        <f t="shared" si="67"/>
        <v>37.322444444444436</v>
      </c>
      <c r="G262" s="49">
        <f t="shared" si="67"/>
        <v>99.29683333333335</v>
      </c>
      <c r="H262" s="49">
        <f t="shared" si="67"/>
        <v>876.9142222222223</v>
      </c>
      <c r="I262" s="49">
        <f t="shared" si="67"/>
        <v>1.2483333333333333</v>
      </c>
      <c r="J262" s="49">
        <f t="shared" si="67"/>
        <v>0.6358333333333334</v>
      </c>
      <c r="K262" s="49">
        <f t="shared" si="67"/>
        <v>46.517</v>
      </c>
      <c r="L262" s="49">
        <f t="shared" si="67"/>
        <v>2.3161111111111112</v>
      </c>
      <c r="M262" s="49">
        <f t="shared" si="67"/>
        <v>2.743444444444444</v>
      </c>
      <c r="N262" s="49">
        <f t="shared" si="67"/>
        <v>226.50166666666667</v>
      </c>
      <c r="O262" s="49">
        <f t="shared" si="67"/>
        <v>438.96666666666664</v>
      </c>
      <c r="P262" s="49">
        <f t="shared" si="67"/>
        <v>5.889833333333334</v>
      </c>
      <c r="Q262" s="49">
        <f t="shared" si="67"/>
        <v>0.08700000000000001</v>
      </c>
      <c r="R262" s="49">
        <f t="shared" si="67"/>
        <v>107.29166666666666</v>
      </c>
      <c r="S262" s="49">
        <f t="shared" si="67"/>
        <v>6.72175</v>
      </c>
      <c r="T262" s="49"/>
      <c r="U262" s="52"/>
      <c r="V262" s="52"/>
      <c r="W262" s="52"/>
    </row>
    <row r="263" spans="1:23" s="6" customFormat="1" ht="11.25" customHeight="1">
      <c r="A263" s="228" t="s">
        <v>73</v>
      </c>
      <c r="B263" s="229"/>
      <c r="C263" s="229"/>
      <c r="D263" s="230"/>
      <c r="E263" s="126">
        <f>E262/E271</f>
        <v>0.3995135802469136</v>
      </c>
      <c r="F263" s="55">
        <f aca="true" t="shared" si="68" ref="F263:S263">F262/F271</f>
        <v>0.40567874396135256</v>
      </c>
      <c r="G263" s="55">
        <f t="shared" si="68"/>
        <v>0.2592606614447346</v>
      </c>
      <c r="H263" s="55">
        <f t="shared" si="68"/>
        <v>0.3223949346405229</v>
      </c>
      <c r="I263" s="55">
        <f t="shared" si="68"/>
        <v>0.8916666666666667</v>
      </c>
      <c r="J263" s="55">
        <f t="shared" si="68"/>
        <v>0.39739583333333334</v>
      </c>
      <c r="K263" s="55">
        <f t="shared" si="68"/>
        <v>0.6645285714285715</v>
      </c>
      <c r="L263" s="55">
        <f t="shared" si="68"/>
        <v>2.573456790123457</v>
      </c>
      <c r="M263" s="55">
        <f t="shared" si="68"/>
        <v>0.22862037037037033</v>
      </c>
      <c r="N263" s="55">
        <f t="shared" si="68"/>
        <v>0.1887513888888889</v>
      </c>
      <c r="O263" s="55">
        <f t="shared" si="68"/>
        <v>0.36580555555555555</v>
      </c>
      <c r="P263" s="55">
        <f t="shared" si="68"/>
        <v>0.420702380952381</v>
      </c>
      <c r="Q263" s="55">
        <f t="shared" si="68"/>
        <v>0.87</v>
      </c>
      <c r="R263" s="55">
        <f t="shared" si="68"/>
        <v>0.35763888888888884</v>
      </c>
      <c r="S263" s="55">
        <f t="shared" si="68"/>
        <v>0.37343055555555554</v>
      </c>
      <c r="T263" s="61"/>
      <c r="U263" s="52"/>
      <c r="V263" s="52"/>
      <c r="W263" s="52"/>
    </row>
    <row r="264" spans="1:23" s="6" customFormat="1" ht="11.25" customHeight="1">
      <c r="A264" s="237" t="s">
        <v>29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9"/>
      <c r="T264" s="16"/>
      <c r="U264" s="30"/>
      <c r="V264" s="30"/>
      <c r="W264" s="30"/>
    </row>
    <row r="265" spans="1:23" s="92" customFormat="1" ht="11.25" customHeight="1">
      <c r="A265" s="157">
        <v>338</v>
      </c>
      <c r="B265" s="224" t="s">
        <v>157</v>
      </c>
      <c r="C265" s="225"/>
      <c r="D265" s="101">
        <v>100</v>
      </c>
      <c r="E265" s="77">
        <f>1.5*D265/100</f>
        <v>1.5</v>
      </c>
      <c r="F265" s="77">
        <f>0.5*D265/100</f>
        <v>0.5</v>
      </c>
      <c r="G265" s="77">
        <f>21*D265/100</f>
        <v>21</v>
      </c>
      <c r="H265" s="87">
        <f>E265*4+F265*9+G265*4</f>
        <v>94.5</v>
      </c>
      <c r="I265" s="77">
        <f>0.04*D265/100</f>
        <v>0.04</v>
      </c>
      <c r="J265" s="77">
        <f>0.05*D265/100</f>
        <v>0.05</v>
      </c>
      <c r="K265" s="78">
        <f>10*D265/100</f>
        <v>10</v>
      </c>
      <c r="L265" s="79">
        <f>0.02*D265/100</f>
        <v>0.02</v>
      </c>
      <c r="M265" s="79">
        <f>0.4*D265/100</f>
        <v>0.4</v>
      </c>
      <c r="N265" s="79">
        <f>8*D265/100</f>
        <v>8</v>
      </c>
      <c r="O265" s="79">
        <f>28*D265/100</f>
        <v>28</v>
      </c>
      <c r="P265" s="79">
        <f>0.15*D265/100</f>
        <v>0.15</v>
      </c>
      <c r="Q265" s="79"/>
      <c r="R265" s="79">
        <f>42*D265/100</f>
        <v>42</v>
      </c>
      <c r="S265" s="79"/>
      <c r="T265" s="16"/>
      <c r="U265" s="30"/>
      <c r="V265" s="30"/>
      <c r="W265" s="30"/>
    </row>
    <row r="266" spans="1:23" s="6" customFormat="1" ht="12.75" customHeight="1">
      <c r="A266" s="99"/>
      <c r="B266" s="231" t="s">
        <v>62</v>
      </c>
      <c r="C266" s="232"/>
      <c r="D266" s="91">
        <v>18</v>
      </c>
      <c r="E266" s="93">
        <v>1.36</v>
      </c>
      <c r="F266" s="93">
        <v>1.81</v>
      </c>
      <c r="G266" s="93">
        <v>11.04</v>
      </c>
      <c r="H266" s="93">
        <f>E266*4+F266*9+G266*4</f>
        <v>65.89</v>
      </c>
      <c r="I266" s="89">
        <v>0</v>
      </c>
      <c r="J266" s="89">
        <v>0</v>
      </c>
      <c r="K266" s="91">
        <v>0</v>
      </c>
      <c r="L266" s="89">
        <v>0</v>
      </c>
      <c r="M266" s="89">
        <v>0</v>
      </c>
      <c r="N266" s="90">
        <v>1</v>
      </c>
      <c r="O266" s="90">
        <v>0.2</v>
      </c>
      <c r="P266" s="91">
        <v>0</v>
      </c>
      <c r="Q266" s="91">
        <v>0</v>
      </c>
      <c r="R266" s="68">
        <v>0.4</v>
      </c>
      <c r="S266" s="93">
        <v>0.08</v>
      </c>
      <c r="T266" s="21"/>
      <c r="U266" s="32"/>
      <c r="V266" s="32"/>
      <c r="W266" s="32"/>
    </row>
    <row r="267" spans="1:23" s="6" customFormat="1" ht="12.75" customHeight="1">
      <c r="A267" s="99">
        <v>386</v>
      </c>
      <c r="B267" s="231" t="s">
        <v>89</v>
      </c>
      <c r="C267" s="232"/>
      <c r="D267" s="91">
        <v>200</v>
      </c>
      <c r="E267" s="93">
        <v>5.8</v>
      </c>
      <c r="F267" s="93">
        <v>5</v>
      </c>
      <c r="G267" s="93">
        <v>8.4</v>
      </c>
      <c r="H267" s="93">
        <f>E267*4+F267*9+G267*4</f>
        <v>101.80000000000001</v>
      </c>
      <c r="I267" s="94">
        <v>0.04</v>
      </c>
      <c r="J267" s="94">
        <v>0.26</v>
      </c>
      <c r="K267" s="93">
        <v>0.6</v>
      </c>
      <c r="L267" s="93">
        <v>0.04</v>
      </c>
      <c r="M267" s="89">
        <v>0.001</v>
      </c>
      <c r="N267" s="93">
        <v>248</v>
      </c>
      <c r="O267" s="93">
        <v>184</v>
      </c>
      <c r="P267" s="90">
        <v>0.4</v>
      </c>
      <c r="Q267" s="94">
        <v>0.001</v>
      </c>
      <c r="R267" s="93">
        <v>28</v>
      </c>
      <c r="S267" s="93">
        <v>0.2</v>
      </c>
      <c r="T267" s="21"/>
      <c r="U267" s="32"/>
      <c r="V267" s="32"/>
      <c r="W267" s="32"/>
    </row>
    <row r="268" spans="1:23" s="1" customFormat="1" ht="11.25" customHeight="1">
      <c r="A268" s="155" t="s">
        <v>30</v>
      </c>
      <c r="B268" s="84"/>
      <c r="C268" s="84"/>
      <c r="D268" s="171">
        <f>SUM(D265:D267)</f>
        <v>318</v>
      </c>
      <c r="E268" s="50">
        <f>SUM(E265:E267)</f>
        <v>8.66</v>
      </c>
      <c r="F268" s="49">
        <f>SUM(F265:F267)</f>
        <v>7.3100000000000005</v>
      </c>
      <c r="G268" s="49">
        <f>SUM(G265:G267)</f>
        <v>40.44</v>
      </c>
      <c r="H268" s="49">
        <f>SUM(H265:H267)</f>
        <v>262.19</v>
      </c>
      <c r="I268" s="50">
        <f aca="true" t="shared" si="69" ref="I268:S268">SUM(I265:I267)</f>
        <v>0.08</v>
      </c>
      <c r="J268" s="50">
        <f t="shared" si="69"/>
        <v>0.31</v>
      </c>
      <c r="K268" s="62">
        <f t="shared" si="69"/>
        <v>10.6</v>
      </c>
      <c r="L268" s="49">
        <f t="shared" si="69"/>
        <v>0.06</v>
      </c>
      <c r="M268" s="49">
        <f t="shared" si="69"/>
        <v>0.401</v>
      </c>
      <c r="N268" s="49">
        <f t="shared" si="69"/>
        <v>257</v>
      </c>
      <c r="O268" s="49">
        <f t="shared" si="69"/>
        <v>212.2</v>
      </c>
      <c r="P268" s="49">
        <f t="shared" si="69"/>
        <v>0.55</v>
      </c>
      <c r="Q268" s="50">
        <f t="shared" si="69"/>
        <v>0.001</v>
      </c>
      <c r="R268" s="49">
        <f t="shared" si="69"/>
        <v>70.4</v>
      </c>
      <c r="S268" s="50">
        <f t="shared" si="69"/>
        <v>0.28</v>
      </c>
      <c r="T268" s="49"/>
      <c r="U268" s="52"/>
      <c r="V268" s="52"/>
      <c r="W268" s="52"/>
    </row>
    <row r="269" spans="1:23" s="1" customFormat="1" ht="11.25" customHeight="1">
      <c r="A269" s="228" t="s">
        <v>73</v>
      </c>
      <c r="B269" s="229"/>
      <c r="C269" s="229"/>
      <c r="D269" s="230"/>
      <c r="E269" s="98">
        <f>E268/E271</f>
        <v>0.09622222222222222</v>
      </c>
      <c r="F269" s="55">
        <f aca="true" t="shared" si="70" ref="F269:S269">F268/F271</f>
        <v>0.07945652173913044</v>
      </c>
      <c r="G269" s="55">
        <f t="shared" si="70"/>
        <v>0.10558746736292428</v>
      </c>
      <c r="H269" s="55">
        <f t="shared" si="70"/>
        <v>0.09639338235294118</v>
      </c>
      <c r="I269" s="55">
        <f t="shared" si="70"/>
        <v>0.05714285714285715</v>
      </c>
      <c r="J269" s="55">
        <f t="shared" si="70"/>
        <v>0.19374999999999998</v>
      </c>
      <c r="K269" s="55">
        <f t="shared" si="70"/>
        <v>0.1514285714285714</v>
      </c>
      <c r="L269" s="55">
        <f t="shared" si="70"/>
        <v>0.06666666666666667</v>
      </c>
      <c r="M269" s="55">
        <f t="shared" si="70"/>
        <v>0.03341666666666667</v>
      </c>
      <c r="N269" s="55">
        <f t="shared" si="70"/>
        <v>0.21416666666666667</v>
      </c>
      <c r="O269" s="55">
        <f t="shared" si="70"/>
        <v>0.17683333333333331</v>
      </c>
      <c r="P269" s="55">
        <f t="shared" si="70"/>
        <v>0.03928571428571429</v>
      </c>
      <c r="Q269" s="55">
        <f t="shared" si="70"/>
        <v>0.01</v>
      </c>
      <c r="R269" s="55">
        <f t="shared" si="70"/>
        <v>0.2346666666666667</v>
      </c>
      <c r="S269" s="55">
        <f t="shared" si="70"/>
        <v>0.015555555555555557</v>
      </c>
      <c r="T269" s="61"/>
      <c r="U269" s="52"/>
      <c r="V269" s="52"/>
      <c r="W269" s="52"/>
    </row>
    <row r="270" spans="1:23" s="1" customFormat="1" ht="11.25" customHeight="1">
      <c r="A270" s="246" t="s">
        <v>72</v>
      </c>
      <c r="B270" s="247"/>
      <c r="C270" s="247"/>
      <c r="D270" s="248"/>
      <c r="E270" s="50">
        <f aca="true" t="shared" si="71" ref="E270:S270">SUM(E251,E262,E268)</f>
        <v>66.23455555555556</v>
      </c>
      <c r="F270" s="49">
        <f t="shared" si="71"/>
        <v>71.27077777777777</v>
      </c>
      <c r="G270" s="49">
        <f t="shared" si="71"/>
        <v>210.097</v>
      </c>
      <c r="H270" s="49">
        <f t="shared" si="71"/>
        <v>1746.7632222222223</v>
      </c>
      <c r="I270" s="50">
        <f t="shared" si="71"/>
        <v>1.592</v>
      </c>
      <c r="J270" s="50">
        <f t="shared" si="71"/>
        <v>1.2366666666666666</v>
      </c>
      <c r="K270" s="49">
        <f t="shared" si="71"/>
        <v>68.67366666666666</v>
      </c>
      <c r="L270" s="50">
        <f t="shared" si="71"/>
        <v>2.6060111111111115</v>
      </c>
      <c r="M270" s="50">
        <f t="shared" si="71"/>
        <v>4.417777777777777</v>
      </c>
      <c r="N270" s="49">
        <f t="shared" si="71"/>
        <v>904.79</v>
      </c>
      <c r="O270" s="49">
        <f t="shared" si="71"/>
        <v>1094.955</v>
      </c>
      <c r="P270" s="50">
        <f t="shared" si="71"/>
        <v>7.7511</v>
      </c>
      <c r="Q270" s="51">
        <f t="shared" si="71"/>
        <v>0.14933333333333335</v>
      </c>
      <c r="R270" s="50">
        <f t="shared" si="71"/>
        <v>270.06416666666667</v>
      </c>
      <c r="S270" s="50">
        <f t="shared" si="71"/>
        <v>9.280083333333332</v>
      </c>
      <c r="T270" s="53"/>
      <c r="U270" s="52"/>
      <c r="V270" s="52"/>
      <c r="W270" s="52"/>
    </row>
    <row r="271" spans="1:23" s="1" customFormat="1" ht="11.25" customHeight="1">
      <c r="A271" s="246" t="s">
        <v>74</v>
      </c>
      <c r="B271" s="247"/>
      <c r="C271" s="247"/>
      <c r="D271" s="248"/>
      <c r="E271" s="93">
        <v>90</v>
      </c>
      <c r="F271" s="90">
        <v>92</v>
      </c>
      <c r="G271" s="90">
        <v>383</v>
      </c>
      <c r="H271" s="90">
        <v>2720</v>
      </c>
      <c r="I271" s="93">
        <v>1.4</v>
      </c>
      <c r="J271" s="93">
        <v>1.6</v>
      </c>
      <c r="K271" s="91">
        <v>70</v>
      </c>
      <c r="L271" s="93">
        <v>0.9</v>
      </c>
      <c r="M271" s="91">
        <v>12</v>
      </c>
      <c r="N271" s="91">
        <v>1200</v>
      </c>
      <c r="O271" s="91">
        <v>1200</v>
      </c>
      <c r="P271" s="91">
        <v>14</v>
      </c>
      <c r="Q271" s="90">
        <v>0.1</v>
      </c>
      <c r="R271" s="91">
        <v>300</v>
      </c>
      <c r="S271" s="93">
        <v>18</v>
      </c>
      <c r="T271" s="21"/>
      <c r="U271" s="32"/>
      <c r="V271" s="32"/>
      <c r="W271" s="32"/>
    </row>
    <row r="272" spans="1:23" s="1" customFormat="1" ht="11.25" customHeight="1">
      <c r="A272" s="228" t="s">
        <v>73</v>
      </c>
      <c r="B272" s="229"/>
      <c r="C272" s="229"/>
      <c r="D272" s="230"/>
      <c r="E272" s="98">
        <f aca="true" t="shared" si="72" ref="E272:S272">E270/E271</f>
        <v>0.7359395061728395</v>
      </c>
      <c r="F272" s="55">
        <f t="shared" si="72"/>
        <v>0.7746823671497584</v>
      </c>
      <c r="G272" s="55">
        <f t="shared" si="72"/>
        <v>0.548556135770235</v>
      </c>
      <c r="H272" s="55">
        <f t="shared" si="72"/>
        <v>0.6421923611111111</v>
      </c>
      <c r="I272" s="55">
        <f t="shared" si="72"/>
        <v>1.1371428571428572</v>
      </c>
      <c r="J272" s="55">
        <f t="shared" si="72"/>
        <v>0.7729166666666666</v>
      </c>
      <c r="K272" s="55">
        <f t="shared" si="72"/>
        <v>0.9810523809523809</v>
      </c>
      <c r="L272" s="57">
        <f t="shared" si="72"/>
        <v>2.895567901234568</v>
      </c>
      <c r="M272" s="55">
        <f t="shared" si="72"/>
        <v>0.3681481481481481</v>
      </c>
      <c r="N272" s="55">
        <f t="shared" si="72"/>
        <v>0.7539916666666666</v>
      </c>
      <c r="O272" s="55">
        <f t="shared" si="72"/>
        <v>0.9124625</v>
      </c>
      <c r="P272" s="55">
        <f t="shared" si="72"/>
        <v>0.55365</v>
      </c>
      <c r="Q272" s="57">
        <f t="shared" si="72"/>
        <v>1.4933333333333334</v>
      </c>
      <c r="R272" s="55">
        <f t="shared" si="72"/>
        <v>0.9002138888888889</v>
      </c>
      <c r="S272" s="57">
        <f t="shared" si="72"/>
        <v>0.5155601851851851</v>
      </c>
      <c r="T272" s="58"/>
      <c r="U272" s="59"/>
      <c r="V272" s="59"/>
      <c r="W272" s="59"/>
    </row>
    <row r="273" spans="1:23" s="1" customFormat="1" ht="11.25" customHeight="1">
      <c r="A273" s="156" t="s">
        <v>158</v>
      </c>
      <c r="B273" s="134"/>
      <c r="C273" s="135"/>
      <c r="D273" s="135"/>
      <c r="E273" s="136"/>
      <c r="F273" s="137"/>
      <c r="G273" s="138"/>
      <c r="H273" s="2"/>
      <c r="I273" s="92"/>
      <c r="J273" s="6"/>
      <c r="K273" s="6"/>
      <c r="L273" s="244"/>
      <c r="M273" s="244"/>
      <c r="N273" s="244"/>
      <c r="O273" s="244"/>
      <c r="P273" s="244"/>
      <c r="Q273" s="244"/>
      <c r="R273" s="244"/>
      <c r="S273" s="244"/>
      <c r="T273" s="17"/>
      <c r="U273" s="25"/>
      <c r="V273" s="25"/>
      <c r="W273" s="25"/>
    </row>
    <row r="274" spans="1:23" s="1" customFormat="1" ht="11.25" customHeight="1">
      <c r="A274" s="152"/>
      <c r="B274" s="70"/>
      <c r="C274" s="131"/>
      <c r="D274" s="131"/>
      <c r="E274" s="121"/>
      <c r="F274" s="92"/>
      <c r="G274" s="2"/>
      <c r="H274" s="2"/>
      <c r="I274" s="92"/>
      <c r="J274" s="92"/>
      <c r="K274" s="92"/>
      <c r="L274" s="244" t="s">
        <v>86</v>
      </c>
      <c r="M274" s="244"/>
      <c r="N274" s="244"/>
      <c r="O274" s="244"/>
      <c r="P274" s="244"/>
      <c r="Q274" s="244"/>
      <c r="R274" s="244"/>
      <c r="S274" s="244"/>
      <c r="T274" s="17"/>
      <c r="U274" s="25"/>
      <c r="V274" s="25"/>
      <c r="W274" s="25"/>
    </row>
    <row r="275" spans="1:23" s="1" customFormat="1" ht="11.25" customHeight="1">
      <c r="A275" s="256" t="s">
        <v>41</v>
      </c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18"/>
      <c r="U275" s="31"/>
      <c r="V275" s="31"/>
      <c r="W275" s="31"/>
    </row>
    <row r="276" spans="1:23" s="1" customFormat="1" ht="11.25" customHeight="1">
      <c r="A276" s="151" t="s">
        <v>65</v>
      </c>
      <c r="B276" s="70"/>
      <c r="C276" s="70"/>
      <c r="D276" s="2"/>
      <c r="E276" s="44"/>
      <c r="F276" s="243" t="s">
        <v>34</v>
      </c>
      <c r="G276" s="243"/>
      <c r="H276" s="243"/>
      <c r="I276" s="6"/>
      <c r="J276" s="6"/>
      <c r="K276" s="252" t="s">
        <v>1</v>
      </c>
      <c r="L276" s="252"/>
      <c r="M276" s="280" t="s">
        <v>82</v>
      </c>
      <c r="N276" s="280"/>
      <c r="O276" s="280"/>
      <c r="P276" s="280"/>
      <c r="Q276" s="6"/>
      <c r="R276" s="6"/>
      <c r="S276" s="6"/>
      <c r="T276" s="19"/>
      <c r="U276" s="26"/>
      <c r="V276" s="26"/>
      <c r="W276" s="26"/>
    </row>
    <row r="277" spans="1:23" s="1" customFormat="1" ht="11.25" customHeight="1">
      <c r="A277" s="152"/>
      <c r="B277" s="70"/>
      <c r="C277" s="70"/>
      <c r="D277" s="245" t="s">
        <v>2</v>
      </c>
      <c r="E277" s="245"/>
      <c r="F277" s="11">
        <v>2</v>
      </c>
      <c r="G277" s="6"/>
      <c r="H277" s="2"/>
      <c r="I277" s="2"/>
      <c r="J277" s="2"/>
      <c r="K277" s="245" t="s">
        <v>3</v>
      </c>
      <c r="L277" s="245"/>
      <c r="M277" s="243" t="s">
        <v>146</v>
      </c>
      <c r="N277" s="243"/>
      <c r="O277" s="243"/>
      <c r="P277" s="243"/>
      <c r="Q277" s="243"/>
      <c r="R277" s="243"/>
      <c r="S277" s="243"/>
      <c r="T277" s="20"/>
      <c r="U277" s="27"/>
      <c r="V277" s="27"/>
      <c r="W277" s="27"/>
    </row>
    <row r="278" spans="1:23" s="1" customFormat="1" ht="21.75" customHeight="1">
      <c r="A278" s="254" t="s">
        <v>4</v>
      </c>
      <c r="B278" s="265" t="s">
        <v>5</v>
      </c>
      <c r="C278" s="266"/>
      <c r="D278" s="254" t="s">
        <v>6</v>
      </c>
      <c r="E278" s="240" t="s">
        <v>7</v>
      </c>
      <c r="F278" s="241"/>
      <c r="G278" s="242"/>
      <c r="H278" s="254" t="s">
        <v>8</v>
      </c>
      <c r="I278" s="240" t="s">
        <v>9</v>
      </c>
      <c r="J278" s="241"/>
      <c r="K278" s="241"/>
      <c r="L278" s="241"/>
      <c r="M278" s="242"/>
      <c r="N278" s="240" t="s">
        <v>10</v>
      </c>
      <c r="O278" s="241"/>
      <c r="P278" s="241"/>
      <c r="Q278" s="241"/>
      <c r="R278" s="241"/>
      <c r="S278" s="242"/>
      <c r="T278" s="14"/>
      <c r="U278" s="28"/>
      <c r="V278" s="28"/>
      <c r="W278" s="28"/>
    </row>
    <row r="279" spans="1:23" s="1" customFormat="1" ht="21" customHeight="1">
      <c r="A279" s="255"/>
      <c r="B279" s="259"/>
      <c r="C279" s="260"/>
      <c r="D279" s="255"/>
      <c r="E279" s="119" t="s">
        <v>11</v>
      </c>
      <c r="F279" s="47" t="s">
        <v>12</v>
      </c>
      <c r="G279" s="47" t="s">
        <v>13</v>
      </c>
      <c r="H279" s="255"/>
      <c r="I279" s="47" t="s">
        <v>14</v>
      </c>
      <c r="J279" s="47" t="s">
        <v>66</v>
      </c>
      <c r="K279" s="47" t="s">
        <v>15</v>
      </c>
      <c r="L279" s="47" t="s">
        <v>16</v>
      </c>
      <c r="M279" s="47" t="s">
        <v>17</v>
      </c>
      <c r="N279" s="47" t="s">
        <v>18</v>
      </c>
      <c r="O279" s="47" t="s">
        <v>19</v>
      </c>
      <c r="P279" s="47" t="s">
        <v>67</v>
      </c>
      <c r="Q279" s="47" t="s">
        <v>68</v>
      </c>
      <c r="R279" s="47" t="s">
        <v>20</v>
      </c>
      <c r="S279" s="47" t="s">
        <v>21</v>
      </c>
      <c r="T279" s="14"/>
      <c r="U279" s="28"/>
      <c r="V279" s="28"/>
      <c r="W279" s="28"/>
    </row>
    <row r="280" spans="1:23" s="1" customFormat="1" ht="11.25" customHeight="1">
      <c r="A280" s="99">
        <v>1</v>
      </c>
      <c r="B280" s="235">
        <v>2</v>
      </c>
      <c r="C280" s="236"/>
      <c r="D280" s="48">
        <v>3</v>
      </c>
      <c r="E280" s="48">
        <v>4</v>
      </c>
      <c r="F280" s="48">
        <v>5</v>
      </c>
      <c r="G280" s="48">
        <v>6</v>
      </c>
      <c r="H280" s="48">
        <v>7</v>
      </c>
      <c r="I280" s="48">
        <v>8</v>
      </c>
      <c r="J280" s="48">
        <v>9</v>
      </c>
      <c r="K280" s="48">
        <v>10</v>
      </c>
      <c r="L280" s="48">
        <v>11</v>
      </c>
      <c r="M280" s="48">
        <v>12</v>
      </c>
      <c r="N280" s="48">
        <v>13</v>
      </c>
      <c r="O280" s="48">
        <v>14</v>
      </c>
      <c r="P280" s="48">
        <v>15</v>
      </c>
      <c r="Q280" s="48">
        <v>16</v>
      </c>
      <c r="R280" s="48">
        <v>17</v>
      </c>
      <c r="S280" s="48">
        <v>18</v>
      </c>
      <c r="T280" s="15"/>
      <c r="U280" s="29"/>
      <c r="V280" s="29"/>
      <c r="W280" s="29"/>
    </row>
    <row r="281" spans="1:23" s="1" customFormat="1" ht="11.25" customHeight="1">
      <c r="A281" s="237" t="s">
        <v>25</v>
      </c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9"/>
      <c r="T281" s="16"/>
      <c r="U281" s="30"/>
      <c r="V281" s="30"/>
      <c r="W281" s="30"/>
    </row>
    <row r="282" spans="1:23" s="6" customFormat="1" ht="11.25" customHeight="1">
      <c r="A282" s="117">
        <v>338</v>
      </c>
      <c r="B282" s="234" t="s">
        <v>155</v>
      </c>
      <c r="C282" s="234"/>
      <c r="D282" s="91">
        <v>100</v>
      </c>
      <c r="E282" s="93">
        <v>0.4</v>
      </c>
      <c r="F282" s="89">
        <v>0.4</v>
      </c>
      <c r="G282" s="90">
        <v>9.8</v>
      </c>
      <c r="H282" s="90">
        <f>E282*4+F282*9+G282*4</f>
        <v>44.400000000000006</v>
      </c>
      <c r="I282" s="93">
        <v>0.04</v>
      </c>
      <c r="J282" s="93">
        <v>0.02</v>
      </c>
      <c r="K282" s="91">
        <v>10</v>
      </c>
      <c r="L282" s="91">
        <v>0.02</v>
      </c>
      <c r="M282" s="93">
        <v>0.2</v>
      </c>
      <c r="N282" s="93">
        <v>16</v>
      </c>
      <c r="O282" s="93">
        <v>11</v>
      </c>
      <c r="P282" s="91">
        <v>0.03</v>
      </c>
      <c r="Q282" s="91">
        <v>0.002</v>
      </c>
      <c r="R282" s="93">
        <v>9</v>
      </c>
      <c r="S282" s="93">
        <v>2.2</v>
      </c>
      <c r="T282" s="16"/>
      <c r="U282" s="30"/>
      <c r="V282" s="30"/>
      <c r="W282" s="30"/>
    </row>
    <row r="283" spans="1:23" s="6" customFormat="1" ht="12.75" customHeight="1">
      <c r="A283" s="99"/>
      <c r="B283" s="231" t="s">
        <v>42</v>
      </c>
      <c r="C283" s="232"/>
      <c r="D283" s="5">
        <v>30</v>
      </c>
      <c r="E283" s="93">
        <v>1.5</v>
      </c>
      <c r="F283" s="93"/>
      <c r="G283" s="93">
        <v>11.4</v>
      </c>
      <c r="H283" s="93">
        <f>E283*4+F283*9+G283*4</f>
        <v>51.6</v>
      </c>
      <c r="I283" s="3">
        <v>0.01</v>
      </c>
      <c r="J283" s="3">
        <v>0.08</v>
      </c>
      <c r="K283" s="93">
        <v>0.2</v>
      </c>
      <c r="L283" s="3">
        <v>0.01</v>
      </c>
      <c r="M283" s="3">
        <v>0.04</v>
      </c>
      <c r="N283" s="3">
        <v>61.4</v>
      </c>
      <c r="O283" s="3">
        <v>43.8</v>
      </c>
      <c r="P283" s="3">
        <v>0.2</v>
      </c>
      <c r="Q283" s="3">
        <v>0.001</v>
      </c>
      <c r="R283" s="3">
        <v>6.8</v>
      </c>
      <c r="S283" s="3">
        <v>0.04</v>
      </c>
      <c r="T283" s="38"/>
      <c r="U283" s="39"/>
      <c r="V283" s="39"/>
      <c r="W283" s="39"/>
    </row>
    <row r="284" spans="1:23" s="6" customFormat="1" ht="21.75" customHeight="1">
      <c r="A284" s="117">
        <v>223</v>
      </c>
      <c r="B284" s="224" t="s">
        <v>78</v>
      </c>
      <c r="C284" s="225"/>
      <c r="D284" s="80">
        <v>200</v>
      </c>
      <c r="E284" s="93">
        <f>15.23*D284/170</f>
        <v>17.91764705882353</v>
      </c>
      <c r="F284" s="93">
        <f>17.48*D284/170</f>
        <v>20.564705882352943</v>
      </c>
      <c r="G284" s="93">
        <f>36.71*D284/170</f>
        <v>43.188235294117646</v>
      </c>
      <c r="H284" s="9">
        <f>E284*4+F284*9+G284*4</f>
        <v>429.50588235294117</v>
      </c>
      <c r="I284" s="9">
        <f>D284*0.11/200</f>
        <v>0.11</v>
      </c>
      <c r="J284" s="93">
        <f>D284*0.39/200</f>
        <v>0.39</v>
      </c>
      <c r="K284" s="9">
        <f>D284*0.56/200</f>
        <v>0.56</v>
      </c>
      <c r="L284" s="9">
        <f>D284*0.26/200</f>
        <v>0.26</v>
      </c>
      <c r="M284" s="93">
        <v>1.8</v>
      </c>
      <c r="N284" s="93">
        <f>D284*169.02/200</f>
        <v>169.02</v>
      </c>
      <c r="O284" s="4">
        <f>D284*341.85/200</f>
        <v>341.85</v>
      </c>
      <c r="P284" s="4">
        <v>2.2</v>
      </c>
      <c r="Q284" s="12">
        <v>0.008</v>
      </c>
      <c r="R284" s="9">
        <f>D284*57.07/200</f>
        <v>57.07</v>
      </c>
      <c r="S284" s="9">
        <f>D284*1.54/200</f>
        <v>1.54</v>
      </c>
      <c r="T284" s="21"/>
      <c r="U284" s="32"/>
      <c r="V284" s="32"/>
      <c r="W284" s="32"/>
    </row>
    <row r="285" spans="1:23" s="6" customFormat="1" ht="11.25" customHeight="1">
      <c r="A285" s="117">
        <v>376</v>
      </c>
      <c r="B285" s="234" t="s">
        <v>76</v>
      </c>
      <c r="C285" s="234"/>
      <c r="D285" s="91">
        <v>200</v>
      </c>
      <c r="E285" s="93">
        <v>0.2</v>
      </c>
      <c r="F285" s="93">
        <v>0.05</v>
      </c>
      <c r="G285" s="93">
        <v>15.01</v>
      </c>
      <c r="H285" s="93">
        <f>E285*4+F285*9+G285*4</f>
        <v>61.29</v>
      </c>
      <c r="I285" s="91">
        <v>0</v>
      </c>
      <c r="J285" s="93">
        <v>0.01</v>
      </c>
      <c r="K285" s="93">
        <v>9</v>
      </c>
      <c r="L285" s="97">
        <v>0.0001</v>
      </c>
      <c r="M285" s="94">
        <v>0.045</v>
      </c>
      <c r="N285" s="93">
        <v>5.25</v>
      </c>
      <c r="O285" s="93">
        <v>8.24</v>
      </c>
      <c r="P285" s="94">
        <v>0.008</v>
      </c>
      <c r="Q285" s="91">
        <v>0</v>
      </c>
      <c r="R285" s="90">
        <v>4.4</v>
      </c>
      <c r="S285" s="93">
        <v>0.87</v>
      </c>
      <c r="T285" s="21"/>
      <c r="U285" s="32"/>
      <c r="V285" s="32"/>
      <c r="W285" s="32"/>
    </row>
    <row r="286" spans="1:23" s="6" customFormat="1" ht="11.25" customHeight="1">
      <c r="A286" s="117" t="s">
        <v>87</v>
      </c>
      <c r="B286" s="224" t="s">
        <v>60</v>
      </c>
      <c r="C286" s="225"/>
      <c r="D286" s="91">
        <v>40</v>
      </c>
      <c r="E286" s="93">
        <f>1.52*D286/30</f>
        <v>2.0266666666666664</v>
      </c>
      <c r="F286" s="94">
        <f>0.16*D286/30</f>
        <v>0.21333333333333335</v>
      </c>
      <c r="G286" s="94">
        <f>9.84*D286/30</f>
        <v>13.120000000000001</v>
      </c>
      <c r="H286" s="94">
        <f>E286*4+F286*9+G286*4</f>
        <v>62.50666666666667</v>
      </c>
      <c r="I286" s="94">
        <f>0.02*D286/30</f>
        <v>0.02666666666666667</v>
      </c>
      <c r="J286" s="94">
        <f>0.01*D286/30</f>
        <v>0.013333333333333334</v>
      </c>
      <c r="K286" s="94">
        <f>0.44*D286/30</f>
        <v>0.5866666666666667</v>
      </c>
      <c r="L286" s="94">
        <v>0</v>
      </c>
      <c r="M286" s="94">
        <f>0.7*D286/30</f>
        <v>0.9333333333333333</v>
      </c>
      <c r="N286" s="94">
        <f>4*D286/30</f>
        <v>5.333333333333333</v>
      </c>
      <c r="O286" s="94">
        <f>13*D286/30</f>
        <v>17.333333333333332</v>
      </c>
      <c r="P286" s="94">
        <f>0.008*D286/30</f>
        <v>0.010666666666666666</v>
      </c>
      <c r="Q286" s="94">
        <f>0.001*D286/30</f>
        <v>0.0013333333333333333</v>
      </c>
      <c r="R286" s="94">
        <v>0</v>
      </c>
      <c r="S286" s="94">
        <f>0.22*D286/30</f>
        <v>0.29333333333333333</v>
      </c>
      <c r="T286" s="21"/>
      <c r="U286" s="32"/>
      <c r="V286" s="32"/>
      <c r="W286" s="32"/>
    </row>
    <row r="287" spans="1:23" s="6" customFormat="1" ht="11.25" customHeight="1">
      <c r="A287" s="155" t="s">
        <v>26</v>
      </c>
      <c r="B287" s="85"/>
      <c r="C287" s="85"/>
      <c r="D287" s="171">
        <f>SUM(D282:D286)</f>
        <v>570</v>
      </c>
      <c r="E287" s="50">
        <f aca="true" t="shared" si="73" ref="E287:S287">SUM(E282:E286)</f>
        <v>22.044313725490195</v>
      </c>
      <c r="F287" s="50">
        <f t="shared" si="73"/>
        <v>21.228039215686277</v>
      </c>
      <c r="G287" s="50">
        <f t="shared" si="73"/>
        <v>92.51823529411766</v>
      </c>
      <c r="H287" s="50">
        <f t="shared" si="73"/>
        <v>649.3025490196078</v>
      </c>
      <c r="I287" s="50">
        <f t="shared" si="73"/>
        <v>0.18666666666666668</v>
      </c>
      <c r="J287" s="50">
        <f t="shared" si="73"/>
        <v>0.5133333333333333</v>
      </c>
      <c r="K287" s="50">
        <f t="shared" si="73"/>
        <v>20.346666666666664</v>
      </c>
      <c r="L287" s="50">
        <f t="shared" si="73"/>
        <v>0.2901</v>
      </c>
      <c r="M287" s="50">
        <f t="shared" si="73"/>
        <v>3.0183333333333335</v>
      </c>
      <c r="N287" s="50">
        <f t="shared" si="73"/>
        <v>257.00333333333333</v>
      </c>
      <c r="O287" s="50">
        <f t="shared" si="73"/>
        <v>422.22333333333336</v>
      </c>
      <c r="P287" s="50">
        <f t="shared" si="73"/>
        <v>2.448666666666667</v>
      </c>
      <c r="Q287" s="50">
        <f t="shared" si="73"/>
        <v>0.012333333333333333</v>
      </c>
      <c r="R287" s="50">
        <f t="shared" si="73"/>
        <v>77.27000000000001</v>
      </c>
      <c r="S287" s="50">
        <f t="shared" si="73"/>
        <v>4.943333333333333</v>
      </c>
      <c r="T287" s="49"/>
      <c r="U287" s="52"/>
      <c r="V287" s="52"/>
      <c r="W287" s="52"/>
    </row>
    <row r="288" spans="1:23" s="6" customFormat="1" ht="11.25" customHeight="1">
      <c r="A288" s="228" t="s">
        <v>73</v>
      </c>
      <c r="B288" s="229"/>
      <c r="C288" s="229"/>
      <c r="D288" s="230"/>
      <c r="E288" s="126">
        <f aca="true" t="shared" si="74" ref="E288:S288">E287/E307</f>
        <v>0.24493681917211327</v>
      </c>
      <c r="F288" s="55">
        <f t="shared" si="74"/>
        <v>0.23073955669224214</v>
      </c>
      <c r="G288" s="55">
        <f t="shared" si="74"/>
        <v>0.2415619720473046</v>
      </c>
      <c r="H288" s="55">
        <f t="shared" si="74"/>
        <v>0.23871417243367934</v>
      </c>
      <c r="I288" s="55">
        <f t="shared" si="74"/>
        <v>0.13333333333333336</v>
      </c>
      <c r="J288" s="55">
        <f t="shared" si="74"/>
        <v>0.3208333333333333</v>
      </c>
      <c r="K288" s="55">
        <f t="shared" si="74"/>
        <v>0.29066666666666663</v>
      </c>
      <c r="L288" s="55">
        <f t="shared" si="74"/>
        <v>0.32233333333333336</v>
      </c>
      <c r="M288" s="55">
        <f t="shared" si="74"/>
        <v>0.2515277777777778</v>
      </c>
      <c r="N288" s="55">
        <f t="shared" si="74"/>
        <v>0.21416944444444444</v>
      </c>
      <c r="O288" s="55">
        <f t="shared" si="74"/>
        <v>0.3518527777777778</v>
      </c>
      <c r="P288" s="55">
        <f t="shared" si="74"/>
        <v>0.17490476190476192</v>
      </c>
      <c r="Q288" s="55">
        <f t="shared" si="74"/>
        <v>0.12333333333333332</v>
      </c>
      <c r="R288" s="55">
        <f t="shared" si="74"/>
        <v>0.2575666666666667</v>
      </c>
      <c r="S288" s="55">
        <f t="shared" si="74"/>
        <v>0.2746296296296296</v>
      </c>
      <c r="T288" s="61"/>
      <c r="U288" s="52"/>
      <c r="V288" s="52"/>
      <c r="W288" s="52"/>
    </row>
    <row r="289" spans="1:23" s="6" customFormat="1" ht="11.25" customHeight="1">
      <c r="A289" s="282" t="s">
        <v>27</v>
      </c>
      <c r="B289" s="283"/>
      <c r="C289" s="283"/>
      <c r="D289" s="283"/>
      <c r="E289" s="283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4"/>
      <c r="T289" s="22"/>
      <c r="U289" s="33"/>
      <c r="V289" s="33"/>
      <c r="W289" s="33"/>
    </row>
    <row r="290" spans="1:23" s="92" customFormat="1" ht="24.75" customHeight="1">
      <c r="A290" s="190" t="s">
        <v>139</v>
      </c>
      <c r="B290" s="222" t="s">
        <v>128</v>
      </c>
      <c r="C290" s="223"/>
      <c r="D290" s="185">
        <v>100</v>
      </c>
      <c r="E290" s="186">
        <f>0.94*D290/60</f>
        <v>1.5666666666666667</v>
      </c>
      <c r="F290" s="192">
        <f>7.22*D290/60</f>
        <v>12.033333333333333</v>
      </c>
      <c r="G290" s="192">
        <f>5.27*D290/60</f>
        <v>8.783333333333333</v>
      </c>
      <c r="H290" s="178">
        <f>E290*4+F290*9+G290*4</f>
        <v>149.7</v>
      </c>
      <c r="I290" s="185">
        <f>0.03*D290/60</f>
        <v>0.05</v>
      </c>
      <c r="J290" s="185">
        <f>0.03*D290/60</f>
        <v>0.05</v>
      </c>
      <c r="K290" s="192">
        <f>12.4*D290/60</f>
        <v>20.666666666666668</v>
      </c>
      <c r="L290" s="192">
        <f>0.001*D290/60</f>
        <v>0.0016666666666666668</v>
      </c>
      <c r="M290" s="185">
        <f>1.5*D290/60</f>
        <v>2.5</v>
      </c>
      <c r="N290" s="192">
        <f>19.7*D290/60</f>
        <v>32.833333333333336</v>
      </c>
      <c r="O290" s="197">
        <f>20.31*D290/60</f>
        <v>33.849999999999994</v>
      </c>
      <c r="P290" s="185">
        <f>0.3*D290/60</f>
        <v>0.5</v>
      </c>
      <c r="Q290" s="186">
        <f>0.001*D290/60</f>
        <v>0.0016666666666666668</v>
      </c>
      <c r="R290" s="186">
        <f>9.98*D290/60</f>
        <v>16.633333333333333</v>
      </c>
      <c r="S290" s="186">
        <f>0.34*D290/60</f>
        <v>0.5666666666666667</v>
      </c>
      <c r="T290" s="22"/>
      <c r="U290" s="33"/>
      <c r="V290" s="33"/>
      <c r="W290" s="33"/>
    </row>
    <row r="291" spans="1:23" s="92" customFormat="1" ht="21" customHeight="1">
      <c r="A291" s="99">
        <v>45</v>
      </c>
      <c r="B291" s="233" t="s">
        <v>126</v>
      </c>
      <c r="C291" s="233"/>
      <c r="D291" s="80">
        <v>100</v>
      </c>
      <c r="E291" s="93">
        <f>0.9*D291/60</f>
        <v>1.5</v>
      </c>
      <c r="F291" s="93">
        <f>1.31*D291/60</f>
        <v>2.183333333333333</v>
      </c>
      <c r="G291" s="93">
        <f>5.6*D291/60</f>
        <v>9.333333333333334</v>
      </c>
      <c r="H291" s="93">
        <f aca="true" t="shared" si="75" ref="H291:H296">E291*4+F291*9+G291*4</f>
        <v>62.983333333333334</v>
      </c>
      <c r="I291" s="93">
        <f>0.06*D291/60</f>
        <v>0.1</v>
      </c>
      <c r="J291" s="93">
        <f>0.07*D291/60</f>
        <v>0.11666666666666668</v>
      </c>
      <c r="K291" s="93">
        <f>15.5*D291/60</f>
        <v>25.833333333333332</v>
      </c>
      <c r="L291" s="94">
        <f>0.071*D291/60</f>
        <v>0.11833333333333333</v>
      </c>
      <c r="M291" s="93">
        <f>0.3*D291/60</f>
        <v>0.5</v>
      </c>
      <c r="N291" s="93">
        <f>28.2*D291/60</f>
        <v>47</v>
      </c>
      <c r="O291" s="93">
        <f>18.9*D291/60</f>
        <v>31.499999999999996</v>
      </c>
      <c r="P291" s="93">
        <f>0.2*D291/60</f>
        <v>0.3333333333333333</v>
      </c>
      <c r="Q291" s="94">
        <f>0.001*D291/60</f>
        <v>0.0016666666666666668</v>
      </c>
      <c r="R291" s="93">
        <f>10.5*D291/60</f>
        <v>17.5</v>
      </c>
      <c r="S291" s="93">
        <f>0.6*D291/60</f>
        <v>1</v>
      </c>
      <c r="T291" s="95"/>
      <c r="U291" s="96"/>
      <c r="V291" s="96"/>
      <c r="W291" s="96"/>
    </row>
    <row r="292" spans="1:23" s="6" customFormat="1" ht="9.75">
      <c r="A292" s="117">
        <v>108</v>
      </c>
      <c r="B292" s="224" t="s">
        <v>137</v>
      </c>
      <c r="C292" s="225"/>
      <c r="D292" s="112">
        <v>250</v>
      </c>
      <c r="E292" s="93">
        <f>2.52*D292/200</f>
        <v>3.15</v>
      </c>
      <c r="F292" s="94">
        <f>2.84*D292/200</f>
        <v>3.55</v>
      </c>
      <c r="G292" s="94">
        <f>16.67*D292/200</f>
        <v>20.8375</v>
      </c>
      <c r="H292" s="93">
        <f t="shared" si="75"/>
        <v>127.89999999999999</v>
      </c>
      <c r="I292" s="94">
        <f>0.07*D292/200</f>
        <v>0.0875</v>
      </c>
      <c r="J292" s="94">
        <f>0.06*D292/200</f>
        <v>0.075</v>
      </c>
      <c r="K292" s="94">
        <f>9.05*D292/200</f>
        <v>11.3125</v>
      </c>
      <c r="L292" s="94">
        <f>0.047*D292/200</f>
        <v>0.05875</v>
      </c>
      <c r="M292" s="94">
        <f>0.7*D292/200</f>
        <v>0.875</v>
      </c>
      <c r="N292" s="94">
        <f>20.59*D292/200</f>
        <v>25.7375</v>
      </c>
      <c r="O292" s="94">
        <f>48.19*D292/200</f>
        <v>60.2375</v>
      </c>
      <c r="P292" s="94">
        <f>0.2*D292/200</f>
        <v>0.25</v>
      </c>
      <c r="Q292" s="94">
        <f>0.001*D292/200</f>
        <v>0.00125</v>
      </c>
      <c r="R292" s="94">
        <f>14.56*D292/200</f>
        <v>18.2</v>
      </c>
      <c r="S292" s="94">
        <f>0.74*D292/200</f>
        <v>0.925</v>
      </c>
      <c r="T292" s="21"/>
      <c r="U292" s="32"/>
      <c r="V292" s="32"/>
      <c r="W292" s="32"/>
    </row>
    <row r="293" spans="1:23" s="6" customFormat="1" ht="13.5" customHeight="1">
      <c r="A293" s="99">
        <v>259</v>
      </c>
      <c r="B293" s="231" t="s">
        <v>56</v>
      </c>
      <c r="C293" s="232"/>
      <c r="D293" s="91">
        <v>280</v>
      </c>
      <c r="E293" s="93">
        <f>D293*14.27/200</f>
        <v>19.977999999999998</v>
      </c>
      <c r="F293" s="93">
        <f>D293*15.01/200</f>
        <v>21.014</v>
      </c>
      <c r="G293" s="93">
        <f>D293*25.51/200</f>
        <v>35.714</v>
      </c>
      <c r="H293" s="93">
        <f t="shared" si="75"/>
        <v>411.894</v>
      </c>
      <c r="I293" s="93">
        <f>D293*0.22/200</f>
        <v>0.308</v>
      </c>
      <c r="J293" s="93">
        <f>D293*0.2/200</f>
        <v>0.28</v>
      </c>
      <c r="K293" s="93">
        <f>D293*31.3/200</f>
        <v>43.82</v>
      </c>
      <c r="L293" s="94">
        <v>0.082</v>
      </c>
      <c r="M293" s="89">
        <v>0.49</v>
      </c>
      <c r="N293" s="93">
        <f>D293*42.2/200</f>
        <v>59.08</v>
      </c>
      <c r="O293" s="90">
        <f>D293*218.18/200</f>
        <v>305.452</v>
      </c>
      <c r="P293" s="90">
        <v>4.2</v>
      </c>
      <c r="Q293" s="94">
        <v>0.0017</v>
      </c>
      <c r="R293" s="93">
        <f>D293*55.87/200</f>
        <v>78.21799999999999</v>
      </c>
      <c r="S293" s="93">
        <f>D293*3.32/200</f>
        <v>4.648</v>
      </c>
      <c r="T293" s="21"/>
      <c r="U293" s="32"/>
      <c r="V293" s="32"/>
      <c r="W293" s="32"/>
    </row>
    <row r="294" spans="1:23" s="6" customFormat="1" ht="12.75" customHeight="1">
      <c r="A294" s="117">
        <v>389</v>
      </c>
      <c r="B294" s="224" t="s">
        <v>125</v>
      </c>
      <c r="C294" s="225"/>
      <c r="D294" s="91">
        <v>200</v>
      </c>
      <c r="E294" s="93">
        <v>1</v>
      </c>
      <c r="F294" s="93">
        <v>0.2</v>
      </c>
      <c r="G294" s="93">
        <v>20.2</v>
      </c>
      <c r="H294" s="93">
        <f>E294*4+F294*9+G294*4</f>
        <v>86.6</v>
      </c>
      <c r="I294" s="89">
        <v>0.02</v>
      </c>
      <c r="J294" s="89">
        <v>0.02</v>
      </c>
      <c r="K294" s="90">
        <v>4.8</v>
      </c>
      <c r="L294" s="89">
        <v>0</v>
      </c>
      <c r="M294" s="89">
        <v>0</v>
      </c>
      <c r="N294" s="90">
        <v>14</v>
      </c>
      <c r="O294" s="90">
        <v>18</v>
      </c>
      <c r="P294" s="90">
        <v>0.03</v>
      </c>
      <c r="Q294" s="90">
        <v>0</v>
      </c>
      <c r="R294" s="90">
        <v>8</v>
      </c>
      <c r="S294" s="93">
        <v>0.72</v>
      </c>
      <c r="T294" s="21"/>
      <c r="U294" s="32"/>
      <c r="V294" s="32"/>
      <c r="W294" s="32"/>
    </row>
    <row r="295" spans="1:23" s="6" customFormat="1" ht="11.25" customHeight="1">
      <c r="A295" s="99" t="s">
        <v>87</v>
      </c>
      <c r="B295" s="231" t="s">
        <v>47</v>
      </c>
      <c r="C295" s="232"/>
      <c r="D295" s="91">
        <v>40</v>
      </c>
      <c r="E295" s="93">
        <f>2.64*D295/40</f>
        <v>2.64</v>
      </c>
      <c r="F295" s="93">
        <f>0.48*D295/40</f>
        <v>0.48</v>
      </c>
      <c r="G295" s="93">
        <f>13.68*D295/40</f>
        <v>13.680000000000001</v>
      </c>
      <c r="H295" s="90">
        <f t="shared" si="75"/>
        <v>69.60000000000001</v>
      </c>
      <c r="I295" s="89">
        <f>0.08*D295/40</f>
        <v>0.08</v>
      </c>
      <c r="J295" s="93">
        <f>0.04*D295/40</f>
        <v>0.04</v>
      </c>
      <c r="K295" s="91">
        <v>0</v>
      </c>
      <c r="L295" s="91">
        <v>0</v>
      </c>
      <c r="M295" s="93">
        <f>2.4*D295/100</f>
        <v>0.96</v>
      </c>
      <c r="N295" s="93">
        <f>14*D295/40</f>
        <v>14</v>
      </c>
      <c r="O295" s="93">
        <f>63.2*D295/40</f>
        <v>63.2</v>
      </c>
      <c r="P295" s="93">
        <f>1.2*D295/40</f>
        <v>1.2</v>
      </c>
      <c r="Q295" s="94">
        <f>0.001*D295/40</f>
        <v>0.001</v>
      </c>
      <c r="R295" s="93">
        <f>9.4*D295/40</f>
        <v>9.4</v>
      </c>
      <c r="S295" s="89">
        <f>0.78*D295/40</f>
        <v>0.78</v>
      </c>
      <c r="T295" s="38"/>
      <c r="U295" s="39"/>
      <c r="V295" s="39"/>
      <c r="W295" s="39"/>
    </row>
    <row r="296" spans="1:23" s="6" customFormat="1" ht="11.25" customHeight="1">
      <c r="A296" s="99" t="s">
        <v>87</v>
      </c>
      <c r="B296" s="231" t="s">
        <v>60</v>
      </c>
      <c r="C296" s="232"/>
      <c r="D296" s="91">
        <v>40</v>
      </c>
      <c r="E296" s="93">
        <f>1.52*D296/30</f>
        <v>2.0266666666666664</v>
      </c>
      <c r="F296" s="94">
        <f>0.16*D296/30</f>
        <v>0.21333333333333335</v>
      </c>
      <c r="G296" s="94">
        <f>9.84*D296/30</f>
        <v>13.120000000000001</v>
      </c>
      <c r="H296" s="94">
        <f t="shared" si="75"/>
        <v>62.50666666666667</v>
      </c>
      <c r="I296" s="94">
        <f>0.02*D296/30</f>
        <v>0.02666666666666667</v>
      </c>
      <c r="J296" s="94">
        <f>0.01*D296/30</f>
        <v>0.013333333333333334</v>
      </c>
      <c r="K296" s="94">
        <f>0.44*D296/30</f>
        <v>0.5866666666666667</v>
      </c>
      <c r="L296" s="94">
        <v>0</v>
      </c>
      <c r="M296" s="94">
        <f>0.7*D296/30</f>
        <v>0.9333333333333333</v>
      </c>
      <c r="N296" s="94">
        <f>4*D296/30</f>
        <v>5.333333333333333</v>
      </c>
      <c r="O296" s="94">
        <f>13*D296/30</f>
        <v>17.333333333333332</v>
      </c>
      <c r="P296" s="94">
        <f>0.008*D296/30</f>
        <v>0.010666666666666666</v>
      </c>
      <c r="Q296" s="94">
        <f>0.001*D296/30</f>
        <v>0.0013333333333333333</v>
      </c>
      <c r="R296" s="94">
        <v>0</v>
      </c>
      <c r="S296" s="94">
        <f>0.22*D296/30</f>
        <v>0.29333333333333333</v>
      </c>
      <c r="T296" s="21"/>
      <c r="U296" s="32"/>
      <c r="V296" s="32"/>
      <c r="W296" s="32"/>
    </row>
    <row r="297" spans="1:23" s="6" customFormat="1" ht="11.25" customHeight="1">
      <c r="A297" s="155" t="s">
        <v>28</v>
      </c>
      <c r="B297" s="84"/>
      <c r="C297" s="84"/>
      <c r="D297" s="207">
        <f>SUM(D291:D296)</f>
        <v>910</v>
      </c>
      <c r="E297" s="50">
        <f>SUM(E291:E296)</f>
        <v>30.294666666666668</v>
      </c>
      <c r="F297" s="49">
        <f>SUM(F291:F296)</f>
        <v>27.640666666666664</v>
      </c>
      <c r="G297" s="49">
        <f>SUM(G291:G296)</f>
        <v>112.88483333333335</v>
      </c>
      <c r="H297" s="49">
        <f>SUM(H291:H296)</f>
        <v>821.484</v>
      </c>
      <c r="I297" s="50">
        <f aca="true" t="shared" si="76" ref="I297:S297">SUM(I291:I296)</f>
        <v>0.6221666666666665</v>
      </c>
      <c r="J297" s="50">
        <f t="shared" si="76"/>
        <v>0.545</v>
      </c>
      <c r="K297" s="49">
        <f t="shared" si="76"/>
        <v>86.3525</v>
      </c>
      <c r="L297" s="50">
        <f t="shared" si="76"/>
        <v>0.25908333333333333</v>
      </c>
      <c r="M297" s="51">
        <f t="shared" si="76"/>
        <v>3.7583333333333337</v>
      </c>
      <c r="N297" s="50">
        <f t="shared" si="76"/>
        <v>165.15083333333334</v>
      </c>
      <c r="O297" s="49">
        <f t="shared" si="76"/>
        <v>495.7228333333333</v>
      </c>
      <c r="P297" s="50">
        <f t="shared" si="76"/>
        <v>6.024</v>
      </c>
      <c r="Q297" s="50">
        <f t="shared" si="76"/>
        <v>0.00695</v>
      </c>
      <c r="R297" s="50">
        <f t="shared" si="76"/>
        <v>131.31799999999998</v>
      </c>
      <c r="S297" s="50">
        <f t="shared" si="76"/>
        <v>8.366333333333332</v>
      </c>
      <c r="T297" s="49"/>
      <c r="U297" s="52"/>
      <c r="V297" s="52"/>
      <c r="W297" s="52"/>
    </row>
    <row r="298" spans="1:23" s="6" customFormat="1" ht="11.25" customHeight="1">
      <c r="A298" s="249" t="s">
        <v>73</v>
      </c>
      <c r="B298" s="250"/>
      <c r="C298" s="250"/>
      <c r="D298" s="251"/>
      <c r="E298" s="126">
        <f>E297/E307</f>
        <v>0.3366074074074074</v>
      </c>
      <c r="F298" s="55">
        <f aca="true" t="shared" si="77" ref="F298:S298">F297/F307</f>
        <v>0.3004420289855072</v>
      </c>
      <c r="G298" s="55">
        <f t="shared" si="77"/>
        <v>0.29473846823324634</v>
      </c>
      <c r="H298" s="128">
        <f t="shared" si="77"/>
        <v>0.30201617647058826</v>
      </c>
      <c r="I298" s="55">
        <f t="shared" si="77"/>
        <v>0.44440476190476186</v>
      </c>
      <c r="J298" s="55">
        <f t="shared" si="77"/>
        <v>0.340625</v>
      </c>
      <c r="K298" s="55">
        <f t="shared" si="77"/>
        <v>1.233607142857143</v>
      </c>
      <c r="L298" s="55">
        <f t="shared" si="77"/>
        <v>0.2878703703703704</v>
      </c>
      <c r="M298" s="55">
        <f t="shared" si="77"/>
        <v>0.3131944444444445</v>
      </c>
      <c r="N298" s="55">
        <f t="shared" si="77"/>
        <v>0.13762569444444445</v>
      </c>
      <c r="O298" s="55">
        <f t="shared" si="77"/>
        <v>0.4131023611111111</v>
      </c>
      <c r="P298" s="55">
        <f t="shared" si="77"/>
        <v>0.43028571428571427</v>
      </c>
      <c r="Q298" s="55">
        <f t="shared" si="77"/>
        <v>0.06949999999999999</v>
      </c>
      <c r="R298" s="55">
        <f t="shared" si="77"/>
        <v>0.4377266666666666</v>
      </c>
      <c r="S298" s="55">
        <f t="shared" si="77"/>
        <v>0.4647962962962962</v>
      </c>
      <c r="T298" s="61"/>
      <c r="U298" s="52"/>
      <c r="V298" s="52"/>
      <c r="W298" s="52"/>
    </row>
    <row r="299" spans="1:23" s="92" customFormat="1" ht="11.25" customHeight="1">
      <c r="A299" s="154" t="s">
        <v>106</v>
      </c>
      <c r="B299" s="145"/>
      <c r="C299" s="145"/>
      <c r="D299" s="162"/>
      <c r="E299" s="50">
        <f>E290+E292+E293+E294+E295+E296</f>
        <v>30.36133333333333</v>
      </c>
      <c r="F299" s="50">
        <f aca="true" t="shared" si="78" ref="F299:S299">F290+F292+F293+F294+F295+F296</f>
        <v>37.49066666666666</v>
      </c>
      <c r="G299" s="50">
        <f t="shared" si="78"/>
        <v>112.33483333333335</v>
      </c>
      <c r="H299" s="50">
        <f t="shared" si="78"/>
        <v>908.2006666666666</v>
      </c>
      <c r="I299" s="50">
        <f t="shared" si="78"/>
        <v>0.5721666666666666</v>
      </c>
      <c r="J299" s="50">
        <f t="shared" si="78"/>
        <v>0.47833333333333333</v>
      </c>
      <c r="K299" s="50">
        <f t="shared" si="78"/>
        <v>81.18583333333333</v>
      </c>
      <c r="L299" s="50">
        <f t="shared" si="78"/>
        <v>0.14241666666666666</v>
      </c>
      <c r="M299" s="50">
        <f t="shared" si="78"/>
        <v>5.758333333333334</v>
      </c>
      <c r="N299" s="50">
        <f t="shared" si="78"/>
        <v>150.98416666666668</v>
      </c>
      <c r="O299" s="50">
        <f t="shared" si="78"/>
        <v>498.0728333333333</v>
      </c>
      <c r="P299" s="50">
        <f t="shared" si="78"/>
        <v>6.190666666666667</v>
      </c>
      <c r="Q299" s="50">
        <f t="shared" si="78"/>
        <v>0.00695</v>
      </c>
      <c r="R299" s="50">
        <f t="shared" si="78"/>
        <v>130.4513333333333</v>
      </c>
      <c r="S299" s="50">
        <f t="shared" si="78"/>
        <v>7.933</v>
      </c>
      <c r="T299" s="61"/>
      <c r="U299" s="52"/>
      <c r="V299" s="52"/>
      <c r="W299" s="52"/>
    </row>
    <row r="300" spans="1:23" s="6" customFormat="1" ht="11.25" customHeight="1">
      <c r="A300" s="237" t="s">
        <v>29</v>
      </c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9"/>
      <c r="T300" s="16"/>
      <c r="U300" s="30"/>
      <c r="V300" s="30"/>
      <c r="W300" s="30"/>
    </row>
    <row r="301" spans="1:23" s="92" customFormat="1" ht="11.25" customHeight="1">
      <c r="A301" s="99">
        <v>341</v>
      </c>
      <c r="B301" s="267" t="s">
        <v>132</v>
      </c>
      <c r="C301" s="268"/>
      <c r="D301" s="80">
        <v>130</v>
      </c>
      <c r="E301" s="93">
        <f>0.39*D301/60</f>
        <v>0.8450000000000001</v>
      </c>
      <c r="F301" s="93">
        <f>0.18*D301/60</f>
        <v>0.38999999999999996</v>
      </c>
      <c r="G301" s="93">
        <f>5.37*D301/60</f>
        <v>11.635</v>
      </c>
      <c r="H301" s="93">
        <f>E301*4+F301*9+G301*4</f>
        <v>53.43</v>
      </c>
      <c r="I301" s="94">
        <f>0.02*D301/60</f>
        <v>0.043333333333333335</v>
      </c>
      <c r="J301" s="93">
        <f>0.02*D301/60</f>
        <v>0.043333333333333335</v>
      </c>
      <c r="K301" s="93">
        <f>22.95*D301/60</f>
        <v>49.725</v>
      </c>
      <c r="L301" s="94">
        <f>0.02*D301/60</f>
        <v>0.043333333333333335</v>
      </c>
      <c r="M301" s="89">
        <f>0.6*D301/60</f>
        <v>1.3</v>
      </c>
      <c r="N301" s="90">
        <f>15*D301/60</f>
        <v>32.5</v>
      </c>
      <c r="O301" s="93">
        <f>10.2*D301/60</f>
        <v>22.1</v>
      </c>
      <c r="P301" s="93">
        <f>0.13*D301/60</f>
        <v>0.2816666666666667</v>
      </c>
      <c r="Q301" s="94">
        <f>0.001*D301/60</f>
        <v>0.0021666666666666666</v>
      </c>
      <c r="R301" s="93">
        <f>6.6*D301/60</f>
        <v>14.3</v>
      </c>
      <c r="S301" s="93">
        <f>0.75*D301/60</f>
        <v>1.625</v>
      </c>
      <c r="T301" s="16"/>
      <c r="U301" s="30"/>
      <c r="V301" s="30"/>
      <c r="W301" s="30"/>
    </row>
    <row r="302" spans="1:23" s="6" customFormat="1" ht="12.75" customHeight="1">
      <c r="A302" s="99"/>
      <c r="B302" s="233" t="s">
        <v>55</v>
      </c>
      <c r="C302" s="233"/>
      <c r="D302" s="91">
        <v>20</v>
      </c>
      <c r="E302" s="93">
        <v>1.7</v>
      </c>
      <c r="F302" s="89">
        <v>2.26</v>
      </c>
      <c r="G302" s="90">
        <v>13.8</v>
      </c>
      <c r="H302" s="93">
        <f>E302*4+F302*9+G302*4</f>
        <v>82.34</v>
      </c>
      <c r="I302" s="89">
        <v>0.02</v>
      </c>
      <c r="J302" s="89">
        <v>0.01</v>
      </c>
      <c r="K302" s="89">
        <v>0</v>
      </c>
      <c r="L302" s="93">
        <v>0</v>
      </c>
      <c r="M302" s="89">
        <v>0.2</v>
      </c>
      <c r="N302" s="90">
        <v>8.2</v>
      </c>
      <c r="O302" s="90">
        <v>17.4</v>
      </c>
      <c r="P302" s="91">
        <v>0</v>
      </c>
      <c r="Q302" s="91">
        <v>0</v>
      </c>
      <c r="R302" s="90">
        <v>3</v>
      </c>
      <c r="S302" s="93">
        <v>0.2</v>
      </c>
      <c r="T302" s="21"/>
      <c r="U302" s="32"/>
      <c r="V302" s="32"/>
      <c r="W302" s="32"/>
    </row>
    <row r="303" spans="1:23" s="6" customFormat="1" ht="11.25" customHeight="1">
      <c r="A303" s="117">
        <v>385</v>
      </c>
      <c r="B303" s="224" t="s">
        <v>135</v>
      </c>
      <c r="C303" s="225"/>
      <c r="D303" s="104">
        <v>200</v>
      </c>
      <c r="E303" s="87">
        <f>4.2*D303/150</f>
        <v>5.6</v>
      </c>
      <c r="F303" s="87">
        <f>4.8*D303/150</f>
        <v>6.4</v>
      </c>
      <c r="G303" s="87">
        <f>7.05*D303/150</f>
        <v>9.4</v>
      </c>
      <c r="H303" s="108">
        <f>E303*4+F303*9+G303*4</f>
        <v>117.6</v>
      </c>
      <c r="I303" s="117">
        <f>0.06*D303/150</f>
        <v>0.08</v>
      </c>
      <c r="J303" s="118">
        <f>0.23*D303/150</f>
        <v>0.30666666666666664</v>
      </c>
      <c r="K303" s="87">
        <f>1.95*D303/150</f>
        <v>2.6</v>
      </c>
      <c r="L303" s="118">
        <f>0.05*D303/150</f>
        <v>0.06666666666666667</v>
      </c>
      <c r="M303" s="117">
        <f>0.219*D303/150</f>
        <v>0.292</v>
      </c>
      <c r="N303" s="108">
        <f>180*D303/150</f>
        <v>240</v>
      </c>
      <c r="O303" s="108">
        <f>135*D303/150</f>
        <v>180</v>
      </c>
      <c r="P303" s="87">
        <v>0.8</v>
      </c>
      <c r="Q303" s="118">
        <v>0.018</v>
      </c>
      <c r="R303" s="87">
        <f>21*D303/150</f>
        <v>28</v>
      </c>
      <c r="S303" s="87">
        <f>0.09*D303/150</f>
        <v>0.12</v>
      </c>
      <c r="T303" s="21"/>
      <c r="U303" s="32"/>
      <c r="V303" s="32"/>
      <c r="W303" s="32"/>
    </row>
    <row r="304" spans="1:23" s="1" customFormat="1" ht="11.25" customHeight="1">
      <c r="A304" s="155" t="s">
        <v>30</v>
      </c>
      <c r="B304" s="84"/>
      <c r="C304" s="84"/>
      <c r="D304" s="171">
        <f>SUM(D301:D303)</f>
        <v>350</v>
      </c>
      <c r="E304" s="50">
        <f>SUM(E301:E303)</f>
        <v>8.145</v>
      </c>
      <c r="F304" s="49">
        <f>SUM(F301:F303)</f>
        <v>9.05</v>
      </c>
      <c r="G304" s="49">
        <f aca="true" t="shared" si="79" ref="G304:S304">SUM(G301:G303)</f>
        <v>34.835</v>
      </c>
      <c r="H304" s="49">
        <f t="shared" si="79"/>
        <v>253.37</v>
      </c>
      <c r="I304" s="49">
        <f t="shared" si="79"/>
        <v>0.14333333333333334</v>
      </c>
      <c r="J304" s="49">
        <f t="shared" si="79"/>
        <v>0.36</v>
      </c>
      <c r="K304" s="49">
        <f t="shared" si="79"/>
        <v>52.325</v>
      </c>
      <c r="L304" s="49">
        <f t="shared" si="79"/>
        <v>0.11</v>
      </c>
      <c r="M304" s="49">
        <f t="shared" si="79"/>
        <v>1.792</v>
      </c>
      <c r="N304" s="49">
        <f t="shared" si="79"/>
        <v>280.7</v>
      </c>
      <c r="O304" s="49">
        <f t="shared" si="79"/>
        <v>219.5</v>
      </c>
      <c r="P304" s="49">
        <f t="shared" si="79"/>
        <v>1.0816666666666668</v>
      </c>
      <c r="Q304" s="51">
        <f t="shared" si="79"/>
        <v>0.020166666666666666</v>
      </c>
      <c r="R304" s="49">
        <f t="shared" si="79"/>
        <v>45.3</v>
      </c>
      <c r="S304" s="49">
        <f t="shared" si="79"/>
        <v>1.9449999999999998</v>
      </c>
      <c r="T304" s="49"/>
      <c r="U304" s="52"/>
      <c r="V304" s="52"/>
      <c r="W304" s="52"/>
    </row>
    <row r="305" spans="1:23" s="1" customFormat="1" ht="11.25" customHeight="1">
      <c r="A305" s="228" t="s">
        <v>73</v>
      </c>
      <c r="B305" s="229"/>
      <c r="C305" s="229"/>
      <c r="D305" s="230"/>
      <c r="E305" s="98">
        <f>E304/E307</f>
        <v>0.0905</v>
      </c>
      <c r="F305" s="55">
        <f aca="true" t="shared" si="80" ref="F305:S305">F304/F307</f>
        <v>0.0983695652173913</v>
      </c>
      <c r="G305" s="55">
        <f t="shared" si="80"/>
        <v>0.09095300261096606</v>
      </c>
      <c r="H305" s="55">
        <f t="shared" si="80"/>
        <v>0.09315073529411765</v>
      </c>
      <c r="I305" s="55">
        <f t="shared" si="80"/>
        <v>0.10238095238095239</v>
      </c>
      <c r="J305" s="55">
        <f t="shared" si="80"/>
        <v>0.22499999999999998</v>
      </c>
      <c r="K305" s="55">
        <f t="shared" si="80"/>
        <v>0.7475</v>
      </c>
      <c r="L305" s="55">
        <f t="shared" si="80"/>
        <v>0.12222222222222222</v>
      </c>
      <c r="M305" s="55">
        <f t="shared" si="80"/>
        <v>0.14933333333333335</v>
      </c>
      <c r="N305" s="55">
        <f t="shared" si="80"/>
        <v>0.23391666666666666</v>
      </c>
      <c r="O305" s="55">
        <f t="shared" si="80"/>
        <v>0.18291666666666667</v>
      </c>
      <c r="P305" s="55">
        <f t="shared" si="80"/>
        <v>0.07726190476190477</v>
      </c>
      <c r="Q305" s="55">
        <f t="shared" si="80"/>
        <v>0.20166666666666666</v>
      </c>
      <c r="R305" s="55">
        <f t="shared" si="80"/>
        <v>0.151</v>
      </c>
      <c r="S305" s="55">
        <f t="shared" si="80"/>
        <v>0.10805555555555554</v>
      </c>
      <c r="T305" s="61"/>
      <c r="U305" s="52"/>
      <c r="V305" s="52"/>
      <c r="W305" s="52"/>
    </row>
    <row r="306" spans="1:23" s="1" customFormat="1" ht="11.25" customHeight="1">
      <c r="A306" s="246" t="s">
        <v>72</v>
      </c>
      <c r="B306" s="247"/>
      <c r="C306" s="247"/>
      <c r="D306" s="248"/>
      <c r="E306" s="50">
        <f aca="true" t="shared" si="81" ref="E306:S306">SUM(E287,E297,E304)</f>
        <v>60.483980392156866</v>
      </c>
      <c r="F306" s="49">
        <f t="shared" si="81"/>
        <v>57.91870588235294</v>
      </c>
      <c r="G306" s="49">
        <f t="shared" si="81"/>
        <v>240.238068627451</v>
      </c>
      <c r="H306" s="49">
        <f t="shared" si="81"/>
        <v>1724.1565490196076</v>
      </c>
      <c r="I306" s="50">
        <f t="shared" si="81"/>
        <v>0.9521666666666665</v>
      </c>
      <c r="J306" s="50">
        <f t="shared" si="81"/>
        <v>1.4183333333333334</v>
      </c>
      <c r="K306" s="49">
        <f t="shared" si="81"/>
        <v>159.02416666666667</v>
      </c>
      <c r="L306" s="50">
        <f t="shared" si="81"/>
        <v>0.6591833333333333</v>
      </c>
      <c r="M306" s="50">
        <f t="shared" si="81"/>
        <v>8.568666666666667</v>
      </c>
      <c r="N306" s="49">
        <f t="shared" si="81"/>
        <v>702.8541666666667</v>
      </c>
      <c r="O306" s="49">
        <f t="shared" si="81"/>
        <v>1137.4461666666666</v>
      </c>
      <c r="P306" s="50">
        <f t="shared" si="81"/>
        <v>9.554333333333334</v>
      </c>
      <c r="Q306" s="51">
        <f t="shared" si="81"/>
        <v>0.03945</v>
      </c>
      <c r="R306" s="50">
        <f t="shared" si="81"/>
        <v>253.88799999999998</v>
      </c>
      <c r="S306" s="50">
        <f t="shared" si="81"/>
        <v>15.254666666666665</v>
      </c>
      <c r="T306" s="53"/>
      <c r="U306" s="52"/>
      <c r="V306" s="52"/>
      <c r="W306" s="52"/>
    </row>
    <row r="307" spans="1:23" s="1" customFormat="1" ht="11.25" customHeight="1">
      <c r="A307" s="246" t="s">
        <v>74</v>
      </c>
      <c r="B307" s="247"/>
      <c r="C307" s="247"/>
      <c r="D307" s="248"/>
      <c r="E307" s="93">
        <v>90</v>
      </c>
      <c r="F307" s="90">
        <v>92</v>
      </c>
      <c r="G307" s="90">
        <v>383</v>
      </c>
      <c r="H307" s="90">
        <v>2720</v>
      </c>
      <c r="I307" s="93">
        <v>1.4</v>
      </c>
      <c r="J307" s="93">
        <v>1.6</v>
      </c>
      <c r="K307" s="91">
        <v>70</v>
      </c>
      <c r="L307" s="93">
        <v>0.9</v>
      </c>
      <c r="M307" s="91">
        <v>12</v>
      </c>
      <c r="N307" s="91">
        <v>1200</v>
      </c>
      <c r="O307" s="91">
        <v>1200</v>
      </c>
      <c r="P307" s="91">
        <v>14</v>
      </c>
      <c r="Q307" s="90">
        <v>0.1</v>
      </c>
      <c r="R307" s="91">
        <v>300</v>
      </c>
      <c r="S307" s="93">
        <v>18</v>
      </c>
      <c r="T307" s="21"/>
      <c r="U307" s="32"/>
      <c r="V307" s="32"/>
      <c r="W307" s="32"/>
    </row>
    <row r="308" spans="1:23" s="1" customFormat="1" ht="11.25" customHeight="1">
      <c r="A308" s="228" t="s">
        <v>73</v>
      </c>
      <c r="B308" s="229"/>
      <c r="C308" s="229"/>
      <c r="D308" s="230"/>
      <c r="E308" s="98">
        <f aca="true" t="shared" si="82" ref="E308:S308">E306/E307</f>
        <v>0.6720442265795208</v>
      </c>
      <c r="F308" s="55">
        <f t="shared" si="82"/>
        <v>0.6295511508951407</v>
      </c>
      <c r="G308" s="55">
        <f t="shared" si="82"/>
        <v>0.627253442891517</v>
      </c>
      <c r="H308" s="55">
        <f t="shared" si="82"/>
        <v>0.6338810841983852</v>
      </c>
      <c r="I308" s="55">
        <f t="shared" si="82"/>
        <v>0.6801190476190475</v>
      </c>
      <c r="J308" s="55">
        <f t="shared" si="82"/>
        <v>0.8864583333333333</v>
      </c>
      <c r="K308" s="55">
        <f t="shared" si="82"/>
        <v>2.27177380952381</v>
      </c>
      <c r="L308" s="57">
        <f t="shared" si="82"/>
        <v>0.7324259259259259</v>
      </c>
      <c r="M308" s="55">
        <f t="shared" si="82"/>
        <v>0.7140555555555556</v>
      </c>
      <c r="N308" s="55">
        <f t="shared" si="82"/>
        <v>0.5857118055555556</v>
      </c>
      <c r="O308" s="55">
        <f t="shared" si="82"/>
        <v>0.9478718055555555</v>
      </c>
      <c r="P308" s="55">
        <f t="shared" si="82"/>
        <v>0.682452380952381</v>
      </c>
      <c r="Q308" s="57">
        <f t="shared" si="82"/>
        <v>0.39449999999999996</v>
      </c>
      <c r="R308" s="55">
        <f t="shared" si="82"/>
        <v>0.8462933333333332</v>
      </c>
      <c r="S308" s="57">
        <f t="shared" si="82"/>
        <v>0.8474814814814814</v>
      </c>
      <c r="T308" s="58"/>
      <c r="U308" s="59"/>
      <c r="V308" s="59"/>
      <c r="W308" s="59"/>
    </row>
    <row r="309" spans="1:23" s="1" customFormat="1" ht="11.25" customHeight="1">
      <c r="A309" s="152" t="s">
        <v>124</v>
      </c>
      <c r="B309" s="70"/>
      <c r="C309" s="111"/>
      <c r="D309" s="111"/>
      <c r="E309" s="121"/>
      <c r="F309" s="92"/>
      <c r="G309" s="2"/>
      <c r="H309" s="2"/>
      <c r="I309" s="92"/>
      <c r="J309" s="6"/>
      <c r="K309" s="6"/>
      <c r="L309" s="244"/>
      <c r="M309" s="244"/>
      <c r="N309" s="244"/>
      <c r="O309" s="244"/>
      <c r="P309" s="244"/>
      <c r="Q309" s="244"/>
      <c r="R309" s="244"/>
      <c r="S309" s="244"/>
      <c r="T309" s="17"/>
      <c r="U309" s="25"/>
      <c r="V309" s="25"/>
      <c r="W309" s="25"/>
    </row>
    <row r="310" spans="1:23" s="1" customFormat="1" ht="11.25" customHeight="1">
      <c r="A310" s="152"/>
      <c r="B310" s="134" t="s">
        <v>159</v>
      </c>
      <c r="C310" s="134"/>
      <c r="D310" s="135"/>
      <c r="E310" s="135"/>
      <c r="F310" s="136"/>
      <c r="G310" s="137"/>
      <c r="H310" s="138"/>
      <c r="I310" s="92"/>
      <c r="J310" s="92"/>
      <c r="K310" s="92"/>
      <c r="L310" s="110"/>
      <c r="M310" s="110"/>
      <c r="N310" s="110"/>
      <c r="O310" s="110"/>
      <c r="P310" s="110"/>
      <c r="Q310" s="110"/>
      <c r="R310" s="110"/>
      <c r="S310" s="110"/>
      <c r="T310" s="17"/>
      <c r="U310" s="25"/>
      <c r="V310" s="25"/>
      <c r="W310" s="25"/>
    </row>
    <row r="311" spans="1:23" s="1" customFormat="1" ht="11.25" customHeight="1">
      <c r="A311" s="152"/>
      <c r="B311" s="70"/>
      <c r="C311" s="131"/>
      <c r="D311" s="131"/>
      <c r="E311" s="121"/>
      <c r="F311" s="92"/>
      <c r="G311" s="2"/>
      <c r="H311" s="2"/>
      <c r="I311" s="92"/>
      <c r="J311" s="92"/>
      <c r="K311" s="92"/>
      <c r="L311" s="244" t="s">
        <v>86</v>
      </c>
      <c r="M311" s="244"/>
      <c r="N311" s="244"/>
      <c r="O311" s="244"/>
      <c r="P311" s="244"/>
      <c r="Q311" s="244"/>
      <c r="R311" s="244"/>
      <c r="S311" s="244"/>
      <c r="T311" s="17"/>
      <c r="U311" s="25"/>
      <c r="V311" s="25"/>
      <c r="W311" s="25"/>
    </row>
    <row r="312" spans="1:23" s="1" customFormat="1" ht="11.25" customHeight="1">
      <c r="A312" s="256" t="s">
        <v>43</v>
      </c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18"/>
      <c r="U312" s="31"/>
      <c r="V312" s="31"/>
      <c r="W312" s="31"/>
    </row>
    <row r="313" spans="1:23" s="1" customFormat="1" ht="11.25" customHeight="1">
      <c r="A313" s="151" t="s">
        <v>64</v>
      </c>
      <c r="B313" s="70"/>
      <c r="C313" s="70"/>
      <c r="D313" s="2"/>
      <c r="E313" s="44"/>
      <c r="F313" s="243" t="s">
        <v>36</v>
      </c>
      <c r="G313" s="243"/>
      <c r="H313" s="243"/>
      <c r="I313" s="6"/>
      <c r="J313" s="6"/>
      <c r="K313" s="252" t="s">
        <v>1</v>
      </c>
      <c r="L313" s="252"/>
      <c r="M313" s="280" t="s">
        <v>82</v>
      </c>
      <c r="N313" s="280"/>
      <c r="O313" s="280"/>
      <c r="P313" s="280"/>
      <c r="Q313" s="6"/>
      <c r="R313" s="6"/>
      <c r="S313" s="6"/>
      <c r="T313" s="19"/>
      <c r="U313" s="26"/>
      <c r="V313" s="26"/>
      <c r="W313" s="26"/>
    </row>
    <row r="314" spans="1:23" s="1" customFormat="1" ht="11.25" customHeight="1">
      <c r="A314" s="152"/>
      <c r="B314" s="70"/>
      <c r="C314" s="70"/>
      <c r="D314" s="245" t="s">
        <v>2</v>
      </c>
      <c r="E314" s="245"/>
      <c r="F314" s="11">
        <v>2</v>
      </c>
      <c r="G314" s="6"/>
      <c r="H314" s="2"/>
      <c r="I314" s="2"/>
      <c r="J314" s="2"/>
      <c r="K314" s="245" t="s">
        <v>3</v>
      </c>
      <c r="L314" s="245"/>
      <c r="M314" s="243" t="s">
        <v>146</v>
      </c>
      <c r="N314" s="243"/>
      <c r="O314" s="243"/>
      <c r="P314" s="243"/>
      <c r="Q314" s="243"/>
      <c r="R314" s="243"/>
      <c r="S314" s="243"/>
      <c r="T314" s="20"/>
      <c r="U314" s="27"/>
      <c r="V314" s="27"/>
      <c r="W314" s="27"/>
    </row>
    <row r="315" spans="1:23" s="1" customFormat="1" ht="21.75" customHeight="1">
      <c r="A315" s="254" t="s">
        <v>4</v>
      </c>
      <c r="B315" s="265" t="s">
        <v>5</v>
      </c>
      <c r="C315" s="266"/>
      <c r="D315" s="254" t="s">
        <v>6</v>
      </c>
      <c r="E315" s="240" t="s">
        <v>7</v>
      </c>
      <c r="F315" s="241"/>
      <c r="G315" s="242"/>
      <c r="H315" s="254" t="s">
        <v>8</v>
      </c>
      <c r="I315" s="240" t="s">
        <v>9</v>
      </c>
      <c r="J315" s="241"/>
      <c r="K315" s="241"/>
      <c r="L315" s="241"/>
      <c r="M315" s="242"/>
      <c r="N315" s="240" t="s">
        <v>10</v>
      </c>
      <c r="O315" s="241"/>
      <c r="P315" s="241"/>
      <c r="Q315" s="241"/>
      <c r="R315" s="241"/>
      <c r="S315" s="242"/>
      <c r="T315" s="14"/>
      <c r="U315" s="28"/>
      <c r="V315" s="28"/>
      <c r="W315" s="28"/>
    </row>
    <row r="316" spans="1:23" s="1" customFormat="1" ht="21" customHeight="1">
      <c r="A316" s="255"/>
      <c r="B316" s="259"/>
      <c r="C316" s="260"/>
      <c r="D316" s="255"/>
      <c r="E316" s="119" t="s">
        <v>11</v>
      </c>
      <c r="F316" s="47" t="s">
        <v>12</v>
      </c>
      <c r="G316" s="47" t="s">
        <v>13</v>
      </c>
      <c r="H316" s="255"/>
      <c r="I316" s="47" t="s">
        <v>14</v>
      </c>
      <c r="J316" s="47" t="s">
        <v>66</v>
      </c>
      <c r="K316" s="47" t="s">
        <v>15</v>
      </c>
      <c r="L316" s="47" t="s">
        <v>16</v>
      </c>
      <c r="M316" s="47" t="s">
        <v>17</v>
      </c>
      <c r="N316" s="47" t="s">
        <v>18</v>
      </c>
      <c r="O316" s="47" t="s">
        <v>19</v>
      </c>
      <c r="P316" s="47" t="s">
        <v>67</v>
      </c>
      <c r="Q316" s="47" t="s">
        <v>69</v>
      </c>
      <c r="R316" s="47" t="s">
        <v>20</v>
      </c>
      <c r="S316" s="47" t="s">
        <v>21</v>
      </c>
      <c r="T316" s="14"/>
      <c r="U316" s="28"/>
      <c r="V316" s="28"/>
      <c r="W316" s="28"/>
    </row>
    <row r="317" spans="1:23" s="1" customFormat="1" ht="11.25" customHeight="1">
      <c r="A317" s="99">
        <v>1</v>
      </c>
      <c r="B317" s="235">
        <v>2</v>
      </c>
      <c r="C317" s="236"/>
      <c r="D317" s="48">
        <v>3</v>
      </c>
      <c r="E317" s="120">
        <v>4</v>
      </c>
      <c r="F317" s="48">
        <v>5</v>
      </c>
      <c r="G317" s="48">
        <v>6</v>
      </c>
      <c r="H317" s="48">
        <v>7</v>
      </c>
      <c r="I317" s="48">
        <v>8</v>
      </c>
      <c r="J317" s="48">
        <v>9</v>
      </c>
      <c r="K317" s="48">
        <v>10</v>
      </c>
      <c r="L317" s="48">
        <v>11</v>
      </c>
      <c r="M317" s="48">
        <v>12</v>
      </c>
      <c r="N317" s="48">
        <v>13</v>
      </c>
      <c r="O317" s="48">
        <v>14</v>
      </c>
      <c r="P317" s="48">
        <v>15</v>
      </c>
      <c r="Q317" s="48">
        <v>16</v>
      </c>
      <c r="R317" s="48">
        <v>17</v>
      </c>
      <c r="S317" s="48">
        <v>18</v>
      </c>
      <c r="T317" s="15"/>
      <c r="U317" s="29"/>
      <c r="V317" s="29"/>
      <c r="W317" s="29"/>
    </row>
    <row r="318" spans="1:23" s="1" customFormat="1" ht="11.25" customHeight="1">
      <c r="A318" s="237" t="s">
        <v>22</v>
      </c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9"/>
      <c r="T318" s="16"/>
      <c r="U318" s="30"/>
      <c r="V318" s="30"/>
      <c r="W318" s="30"/>
    </row>
    <row r="319" spans="1:23" s="1" customFormat="1" ht="9.75">
      <c r="A319" s="190" t="s">
        <v>140</v>
      </c>
      <c r="B319" s="222" t="s">
        <v>142</v>
      </c>
      <c r="C319" s="223"/>
      <c r="D319" s="185">
        <v>30</v>
      </c>
      <c r="E319" s="186">
        <f>2.2*D319/30</f>
        <v>2.2</v>
      </c>
      <c r="F319" s="185">
        <f>4.3*D319/30</f>
        <v>4.3</v>
      </c>
      <c r="G319" s="185">
        <f>12.3*D319/30</f>
        <v>12.3</v>
      </c>
      <c r="H319" s="208">
        <f aca="true" t="shared" si="83" ref="H319:H325">E319*4+F319*9+G319*4</f>
        <v>96.7</v>
      </c>
      <c r="I319" s="185">
        <f>0.03*D319/30</f>
        <v>0.029999999999999995</v>
      </c>
      <c r="J319" s="185">
        <f>0.01*D319/30</f>
        <v>0.01</v>
      </c>
      <c r="K319" s="186">
        <f>0.85*D319/30</f>
        <v>0.85</v>
      </c>
      <c r="L319" s="185">
        <f>0.02*D319/30</f>
        <v>0.02</v>
      </c>
      <c r="M319" s="185">
        <f>0.03*D319/30</f>
        <v>0.029999999999999995</v>
      </c>
      <c r="N319" s="185">
        <f>5.68*D319/30</f>
        <v>5.679999999999999</v>
      </c>
      <c r="O319" s="197">
        <f>38.38*D319/30</f>
        <v>38.38</v>
      </c>
      <c r="P319" s="185">
        <f>0.04*D319/30</f>
        <v>0.04</v>
      </c>
      <c r="Q319" s="185">
        <f>0.001*D319/30</f>
        <v>0.001</v>
      </c>
      <c r="R319" s="185">
        <f>4.2*D319/30</f>
        <v>4.2</v>
      </c>
      <c r="S319" s="185">
        <f>0.37*D319/30</f>
        <v>0.37</v>
      </c>
      <c r="T319" s="16"/>
      <c r="U319" s="30"/>
      <c r="V319" s="30"/>
      <c r="W319" s="30"/>
    </row>
    <row r="320" spans="1:23" s="92" customFormat="1" ht="23.25" customHeight="1">
      <c r="A320" s="117">
        <v>71</v>
      </c>
      <c r="B320" s="224" t="s">
        <v>148</v>
      </c>
      <c r="C320" s="225"/>
      <c r="D320" s="112">
        <v>50</v>
      </c>
      <c r="E320" s="77">
        <f>0.33*D320/30</f>
        <v>0.55</v>
      </c>
      <c r="F320" s="77">
        <v>0.08</v>
      </c>
      <c r="G320" s="77">
        <f>3.8*D320/100</f>
        <v>1.9</v>
      </c>
      <c r="H320" s="77">
        <f t="shared" si="83"/>
        <v>10.52</v>
      </c>
      <c r="I320" s="79">
        <v>0.027</v>
      </c>
      <c r="J320" s="79">
        <v>0.032</v>
      </c>
      <c r="K320" s="77">
        <v>9.733</v>
      </c>
      <c r="L320" s="77">
        <v>0.36</v>
      </c>
      <c r="M320" s="112">
        <v>1.88</v>
      </c>
      <c r="N320" s="78">
        <v>24.4</v>
      </c>
      <c r="O320" s="78">
        <v>30.36</v>
      </c>
      <c r="P320" s="77">
        <v>0.28</v>
      </c>
      <c r="Q320" s="79">
        <v>0.005</v>
      </c>
      <c r="R320" s="78">
        <v>10.2</v>
      </c>
      <c r="S320" s="77">
        <v>0.4</v>
      </c>
      <c r="T320" s="95"/>
      <c r="U320" s="96"/>
      <c r="V320" s="96"/>
      <c r="W320" s="96"/>
    </row>
    <row r="321" spans="1:23" s="6" customFormat="1" ht="24" customHeight="1">
      <c r="A321" s="99">
        <v>279</v>
      </c>
      <c r="B321" s="231" t="s">
        <v>131</v>
      </c>
      <c r="C321" s="232"/>
      <c r="D321" s="112" t="s">
        <v>145</v>
      </c>
      <c r="E321" s="93">
        <v>13.49</v>
      </c>
      <c r="F321" s="93">
        <v>16.19</v>
      </c>
      <c r="G321" s="93">
        <v>17.18</v>
      </c>
      <c r="H321" s="90">
        <f t="shared" si="83"/>
        <v>268.39</v>
      </c>
      <c r="I321" s="89">
        <v>0.184</v>
      </c>
      <c r="J321" s="89">
        <v>0.149</v>
      </c>
      <c r="K321" s="93">
        <v>0.36</v>
      </c>
      <c r="L321" s="94">
        <v>0.009</v>
      </c>
      <c r="M321" s="93">
        <v>0.01</v>
      </c>
      <c r="N321" s="93">
        <v>14.55</v>
      </c>
      <c r="O321" s="93">
        <v>159.33</v>
      </c>
      <c r="P321" s="93">
        <v>2.29</v>
      </c>
      <c r="Q321" s="94">
        <v>0.035</v>
      </c>
      <c r="R321" s="93">
        <v>23.33</v>
      </c>
      <c r="S321" s="93">
        <v>1.99</v>
      </c>
      <c r="T321" s="21"/>
      <c r="U321" s="32"/>
      <c r="V321" s="32"/>
      <c r="W321" s="32"/>
    </row>
    <row r="322" spans="1:23" s="6" customFormat="1" ht="22.5" customHeight="1">
      <c r="A322" s="117">
        <v>203</v>
      </c>
      <c r="B322" s="231" t="s">
        <v>111</v>
      </c>
      <c r="C322" s="232"/>
      <c r="D322" s="91">
        <v>180</v>
      </c>
      <c r="E322" s="93">
        <f>5.7*D322/150</f>
        <v>6.84</v>
      </c>
      <c r="F322" s="93">
        <f>3.43*D322/150</f>
        <v>4.116</v>
      </c>
      <c r="G322" s="93">
        <f>36.45*D322/150</f>
        <v>43.74000000000001</v>
      </c>
      <c r="H322" s="93">
        <f t="shared" si="83"/>
        <v>239.36400000000003</v>
      </c>
      <c r="I322" s="93">
        <f>0.09*D322/150</f>
        <v>0.108</v>
      </c>
      <c r="J322" s="93">
        <f>0.03*D322/150</f>
        <v>0.036</v>
      </c>
      <c r="K322" s="93">
        <v>0</v>
      </c>
      <c r="L322" s="94">
        <f>0.03*D322/150</f>
        <v>0.036</v>
      </c>
      <c r="M322" s="93">
        <f>1.25*D322/150</f>
        <v>1.5</v>
      </c>
      <c r="N322" s="93">
        <f>13.28*D322/150</f>
        <v>15.936</v>
      </c>
      <c r="O322" s="93">
        <f>46.21*D322/150</f>
        <v>55.452</v>
      </c>
      <c r="P322" s="93">
        <f>0.78*D322/150</f>
        <v>0.936</v>
      </c>
      <c r="Q322" s="94">
        <f>0.0015*D322/150</f>
        <v>0.0018000000000000002</v>
      </c>
      <c r="R322" s="93">
        <f>8.47*D322/150</f>
        <v>10.164000000000001</v>
      </c>
      <c r="S322" s="93">
        <f>0.86*D322/150</f>
        <v>1.032</v>
      </c>
      <c r="T322" s="21"/>
      <c r="U322" s="32"/>
      <c r="V322" s="32"/>
      <c r="W322" s="32"/>
    </row>
    <row r="323" spans="1:23" s="92" customFormat="1" ht="11.25" customHeight="1">
      <c r="A323" s="99">
        <v>338</v>
      </c>
      <c r="B323" s="224" t="s">
        <v>156</v>
      </c>
      <c r="C323" s="225"/>
      <c r="D323" s="91">
        <v>100</v>
      </c>
      <c r="E323" s="93">
        <v>0.9</v>
      </c>
      <c r="F323" s="89">
        <v>0.2</v>
      </c>
      <c r="G323" s="90">
        <v>8.1</v>
      </c>
      <c r="H323" s="93">
        <f>E323*4+F323*9+G323*4</f>
        <v>37.8</v>
      </c>
      <c r="I323" s="93">
        <v>0.04</v>
      </c>
      <c r="J323" s="93">
        <v>0.03</v>
      </c>
      <c r="K323" s="93">
        <v>60</v>
      </c>
      <c r="L323" s="93">
        <v>0.008</v>
      </c>
      <c r="M323" s="89">
        <v>0.2</v>
      </c>
      <c r="N323" s="93">
        <v>34</v>
      </c>
      <c r="O323" s="93">
        <v>23</v>
      </c>
      <c r="P323" s="94">
        <v>0.2</v>
      </c>
      <c r="Q323" s="93">
        <v>0.002</v>
      </c>
      <c r="R323" s="93">
        <v>15</v>
      </c>
      <c r="S323" s="93">
        <v>0.3</v>
      </c>
      <c r="T323" s="95"/>
      <c r="U323" s="96"/>
      <c r="V323" s="96"/>
      <c r="W323" s="96"/>
    </row>
    <row r="324" spans="1:23" s="6" customFormat="1" ht="11.25" customHeight="1">
      <c r="A324" s="117">
        <v>382</v>
      </c>
      <c r="B324" s="224" t="s">
        <v>138</v>
      </c>
      <c r="C324" s="225"/>
      <c r="D324" s="91">
        <v>200</v>
      </c>
      <c r="E324" s="93">
        <f>3.5*D324/200</f>
        <v>3.5</v>
      </c>
      <c r="F324" s="93">
        <f>3.7*D324/200</f>
        <v>3.7</v>
      </c>
      <c r="G324" s="93">
        <f>25.5*D324/200</f>
        <v>25.5</v>
      </c>
      <c r="H324" s="93">
        <f t="shared" si="83"/>
        <v>149.3</v>
      </c>
      <c r="I324" s="93">
        <f>0.06*D324/200</f>
        <v>0.06</v>
      </c>
      <c r="J324" s="93">
        <f>0.006*D324/200</f>
        <v>0.006</v>
      </c>
      <c r="K324" s="93">
        <f>1.6*D324/200</f>
        <v>1.6</v>
      </c>
      <c r="L324" s="94">
        <f>0.04*D324/200</f>
        <v>0.04</v>
      </c>
      <c r="M324" s="93">
        <f>0.4*D324/200</f>
        <v>0.4</v>
      </c>
      <c r="N324" s="93">
        <f>102.6*D324/200</f>
        <v>102.6</v>
      </c>
      <c r="O324" s="93">
        <f>178.4*D324/200</f>
        <v>178.4</v>
      </c>
      <c r="P324" s="93">
        <f>1*D324/200</f>
        <v>1</v>
      </c>
      <c r="Q324" s="94">
        <f>0.001*D324/200</f>
        <v>0.001</v>
      </c>
      <c r="R324" s="93">
        <f>24.8*D324/200</f>
        <v>24.8</v>
      </c>
      <c r="S324" s="93">
        <f>0.48*D324/200</f>
        <v>0.48</v>
      </c>
      <c r="T324" s="21"/>
      <c r="U324" s="32"/>
      <c r="V324" s="32"/>
      <c r="W324" s="32"/>
    </row>
    <row r="325" spans="1:23" s="6" customFormat="1" ht="11.25" customHeight="1">
      <c r="A325" s="117" t="s">
        <v>87</v>
      </c>
      <c r="B325" s="224" t="s">
        <v>60</v>
      </c>
      <c r="C325" s="225"/>
      <c r="D325" s="91">
        <v>40</v>
      </c>
      <c r="E325" s="93">
        <f>1.52*D325/30</f>
        <v>2.0266666666666664</v>
      </c>
      <c r="F325" s="94">
        <f>0.16*D325/30</f>
        <v>0.21333333333333335</v>
      </c>
      <c r="G325" s="94">
        <f>9.84*D325/30</f>
        <v>13.120000000000001</v>
      </c>
      <c r="H325" s="94">
        <f t="shared" si="83"/>
        <v>62.50666666666667</v>
      </c>
      <c r="I325" s="94">
        <f>0.02*D325/30</f>
        <v>0.02666666666666667</v>
      </c>
      <c r="J325" s="94">
        <f>0.01*D325/30</f>
        <v>0.013333333333333334</v>
      </c>
      <c r="K325" s="94">
        <f>0.44*D325/30</f>
        <v>0.5866666666666667</v>
      </c>
      <c r="L325" s="94">
        <v>0</v>
      </c>
      <c r="M325" s="94">
        <f>0.7*D325/30</f>
        <v>0.9333333333333333</v>
      </c>
      <c r="N325" s="94">
        <f>4*D325/30</f>
        <v>5.333333333333333</v>
      </c>
      <c r="O325" s="94">
        <f>13*D325/30</f>
        <v>17.333333333333332</v>
      </c>
      <c r="P325" s="94">
        <f>0.008*D325/30</f>
        <v>0.010666666666666666</v>
      </c>
      <c r="Q325" s="94">
        <f>0.001*D325/30</f>
        <v>0.0013333333333333333</v>
      </c>
      <c r="R325" s="94">
        <v>0</v>
      </c>
      <c r="S325" s="94">
        <f>0.22*D325/30</f>
        <v>0.29333333333333333</v>
      </c>
      <c r="T325" s="21"/>
      <c r="U325" s="32"/>
      <c r="V325" s="32"/>
      <c r="W325" s="32"/>
    </row>
    <row r="326" spans="1:23" s="6" customFormat="1" ht="11.25" customHeight="1">
      <c r="A326" s="155" t="str">
        <f>'[1]TDSheet'!A308</f>
        <v>Итого за Завтрак мясной</v>
      </c>
      <c r="B326" s="85"/>
      <c r="C326" s="85"/>
      <c r="D326" s="171">
        <v>685</v>
      </c>
      <c r="E326" s="50">
        <f>SUM(E320:E325)</f>
        <v>27.30666666666667</v>
      </c>
      <c r="F326" s="49">
        <f>SUM(F320:F325)</f>
        <v>24.499333333333333</v>
      </c>
      <c r="G326" s="49">
        <f>SUM(G320:G325)</f>
        <v>109.54</v>
      </c>
      <c r="H326" s="62">
        <f>SUM(H320:H325)</f>
        <v>767.8806666666667</v>
      </c>
      <c r="I326" s="50">
        <f aca="true" t="shared" si="84" ref="I326:S326">SUM(I320:I325)</f>
        <v>0.44566666666666666</v>
      </c>
      <c r="J326" s="50">
        <f t="shared" si="84"/>
        <v>0.2663333333333333</v>
      </c>
      <c r="K326" s="50">
        <f t="shared" si="84"/>
        <v>72.27966666666667</v>
      </c>
      <c r="L326" s="50">
        <f t="shared" si="84"/>
        <v>0.45299999999999996</v>
      </c>
      <c r="M326" s="50">
        <f t="shared" si="84"/>
        <v>4.923333333333333</v>
      </c>
      <c r="N326" s="50">
        <f t="shared" si="84"/>
        <v>196.81933333333333</v>
      </c>
      <c r="O326" s="50">
        <f t="shared" si="84"/>
        <v>463.87533333333334</v>
      </c>
      <c r="P326" s="50">
        <f t="shared" si="84"/>
        <v>4.716666666666667</v>
      </c>
      <c r="Q326" s="51">
        <f t="shared" si="84"/>
        <v>0.04613333333333334</v>
      </c>
      <c r="R326" s="50">
        <f t="shared" si="84"/>
        <v>83.494</v>
      </c>
      <c r="S326" s="50">
        <f t="shared" si="84"/>
        <v>4.495333333333333</v>
      </c>
      <c r="T326" s="49"/>
      <c r="U326" s="52"/>
      <c r="V326" s="52"/>
      <c r="W326" s="52"/>
    </row>
    <row r="327" spans="1:23" s="6" customFormat="1" ht="11.25" customHeight="1">
      <c r="A327" s="228" t="s">
        <v>73</v>
      </c>
      <c r="B327" s="229"/>
      <c r="C327" s="229"/>
      <c r="D327" s="230"/>
      <c r="E327" s="126">
        <f aca="true" t="shared" si="85" ref="E327:S327">E326/E345</f>
        <v>0.3034074074074074</v>
      </c>
      <c r="F327" s="55">
        <f t="shared" si="85"/>
        <v>0.2662971014492754</v>
      </c>
      <c r="G327" s="55">
        <f t="shared" si="85"/>
        <v>0.2860052219321149</v>
      </c>
      <c r="H327" s="55">
        <f t="shared" si="85"/>
        <v>0.282309068627451</v>
      </c>
      <c r="I327" s="55">
        <f t="shared" si="85"/>
        <v>0.31833333333333336</v>
      </c>
      <c r="J327" s="55">
        <f t="shared" si="85"/>
        <v>0.16645833333333332</v>
      </c>
      <c r="K327" s="55">
        <f t="shared" si="85"/>
        <v>1.0325666666666666</v>
      </c>
      <c r="L327" s="55">
        <f t="shared" si="85"/>
        <v>0.5033333333333333</v>
      </c>
      <c r="M327" s="55">
        <f t="shared" si="85"/>
        <v>0.41027777777777774</v>
      </c>
      <c r="N327" s="55">
        <f t="shared" si="85"/>
        <v>0.1640161111111111</v>
      </c>
      <c r="O327" s="55">
        <f t="shared" si="85"/>
        <v>0.3865627777777778</v>
      </c>
      <c r="P327" s="55">
        <f t="shared" si="85"/>
        <v>0.33690476190476193</v>
      </c>
      <c r="Q327" s="55">
        <f t="shared" si="85"/>
        <v>0.4613333333333334</v>
      </c>
      <c r="R327" s="55">
        <f t="shared" si="85"/>
        <v>0.27831333333333336</v>
      </c>
      <c r="S327" s="55">
        <f t="shared" si="85"/>
        <v>0.2497407407407407</v>
      </c>
      <c r="T327" s="61"/>
      <c r="U327" s="52"/>
      <c r="V327" s="52"/>
      <c r="W327" s="52"/>
    </row>
    <row r="328" spans="1:23" s="92" customFormat="1" ht="11.25" customHeight="1">
      <c r="A328" s="154" t="s">
        <v>107</v>
      </c>
      <c r="B328" s="109"/>
      <c r="C328" s="109"/>
      <c r="D328" s="148"/>
      <c r="E328" s="50">
        <f>E319+E321+E322+E323+E324+E325</f>
        <v>28.956666666666667</v>
      </c>
      <c r="F328" s="50">
        <f aca="true" t="shared" si="86" ref="F328:S328">F319+F321+F322+F323+F324+F325</f>
        <v>28.719333333333335</v>
      </c>
      <c r="G328" s="50">
        <f t="shared" si="86"/>
        <v>119.94000000000001</v>
      </c>
      <c r="H328" s="50">
        <f t="shared" si="86"/>
        <v>854.0606666666665</v>
      </c>
      <c r="I328" s="50">
        <f t="shared" si="86"/>
        <v>0.44866666666666666</v>
      </c>
      <c r="J328" s="50">
        <f t="shared" si="86"/>
        <v>0.24433333333333335</v>
      </c>
      <c r="K328" s="50">
        <f t="shared" si="86"/>
        <v>63.39666666666667</v>
      </c>
      <c r="L328" s="50">
        <f t="shared" si="86"/>
        <v>0.11300000000000002</v>
      </c>
      <c r="M328" s="50">
        <f t="shared" si="86"/>
        <v>3.0733333333333333</v>
      </c>
      <c r="N328" s="50">
        <f t="shared" si="86"/>
        <v>178.09933333333333</v>
      </c>
      <c r="O328" s="50">
        <f t="shared" si="86"/>
        <v>471.8953333333333</v>
      </c>
      <c r="P328" s="50">
        <f t="shared" si="86"/>
        <v>4.476666666666667</v>
      </c>
      <c r="Q328" s="50">
        <f t="shared" si="86"/>
        <v>0.04213333333333334</v>
      </c>
      <c r="R328" s="50">
        <f t="shared" si="86"/>
        <v>77.494</v>
      </c>
      <c r="S328" s="50">
        <f t="shared" si="86"/>
        <v>4.465333333333333</v>
      </c>
      <c r="T328" s="61"/>
      <c r="U328" s="52"/>
      <c r="V328" s="52"/>
      <c r="W328" s="52"/>
    </row>
    <row r="329" spans="1:23" s="6" customFormat="1" ht="11.25" customHeight="1">
      <c r="A329" s="282" t="s">
        <v>27</v>
      </c>
      <c r="B329" s="283"/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4"/>
      <c r="T329" s="16"/>
      <c r="U329" s="30"/>
      <c r="V329" s="30"/>
      <c r="W329" s="30"/>
    </row>
    <row r="330" spans="1:23" s="92" customFormat="1" ht="11.25" customHeight="1">
      <c r="A330" s="117">
        <v>50</v>
      </c>
      <c r="B330" s="231" t="s">
        <v>115</v>
      </c>
      <c r="C330" s="232"/>
      <c r="D330" s="80">
        <v>100</v>
      </c>
      <c r="E330" s="93">
        <f>2.7*D330/60</f>
        <v>4.5</v>
      </c>
      <c r="F330" s="93">
        <f>4.7*D330/60</f>
        <v>7.833333333333333</v>
      </c>
      <c r="G330" s="93">
        <f>4.31*D330/60</f>
        <v>7.183333333333333</v>
      </c>
      <c r="H330" s="93">
        <f aca="true" t="shared" si="87" ref="H330:H336">E330*4+F330*9+G330*4</f>
        <v>117.23333333333333</v>
      </c>
      <c r="I330" s="94">
        <f>0.01*D330/60</f>
        <v>0.016666666666666666</v>
      </c>
      <c r="J330" s="94">
        <f>0.046*D330/60</f>
        <v>0.07666666666666666</v>
      </c>
      <c r="K330" s="93">
        <f>5.7*D330/60</f>
        <v>9.5</v>
      </c>
      <c r="L330" s="93">
        <f>0.02*D330/60</f>
        <v>0.03333333333333333</v>
      </c>
      <c r="M330" s="93">
        <f>0.1*D330/60</f>
        <v>0.16666666666666666</v>
      </c>
      <c r="N330" s="93">
        <f>97.02*D330/60</f>
        <v>161.7</v>
      </c>
      <c r="O330" s="93">
        <f>65.56*D330/60</f>
        <v>109.26666666666667</v>
      </c>
      <c r="P330" s="93">
        <f>0.43*D330/60</f>
        <v>0.7166666666666667</v>
      </c>
      <c r="Q330" s="94">
        <f>0.001*D330/60</f>
        <v>0.0016666666666666668</v>
      </c>
      <c r="R330" s="93">
        <f>13.79*D330/60</f>
        <v>22.983333333333334</v>
      </c>
      <c r="S330" s="93">
        <f>0.84*D330/60</f>
        <v>1.4</v>
      </c>
      <c r="T330" s="16"/>
      <c r="U330" s="30"/>
      <c r="V330" s="30"/>
      <c r="W330" s="30"/>
    </row>
    <row r="331" spans="1:23" s="92" customFormat="1" ht="23.25" customHeight="1">
      <c r="A331" s="99">
        <v>88</v>
      </c>
      <c r="B331" s="285" t="s">
        <v>75</v>
      </c>
      <c r="C331" s="286"/>
      <c r="D331" s="112" t="s">
        <v>143</v>
      </c>
      <c r="E331" s="93">
        <v>2.44</v>
      </c>
      <c r="F331" s="93">
        <v>6.41</v>
      </c>
      <c r="G331" s="93">
        <v>11.11</v>
      </c>
      <c r="H331" s="93">
        <f t="shared" si="87"/>
        <v>111.89</v>
      </c>
      <c r="I331" s="93">
        <v>0.03</v>
      </c>
      <c r="J331" s="93">
        <v>0.03</v>
      </c>
      <c r="K331" s="93">
        <v>11.39</v>
      </c>
      <c r="L331" s="93">
        <v>0.05</v>
      </c>
      <c r="M331" s="93">
        <v>0.099</v>
      </c>
      <c r="N331" s="93">
        <v>45.49</v>
      </c>
      <c r="O331" s="93">
        <v>29.96</v>
      </c>
      <c r="P331" s="93">
        <v>1.44</v>
      </c>
      <c r="Q331" s="94">
        <v>0.002</v>
      </c>
      <c r="R331" s="93">
        <v>15.35</v>
      </c>
      <c r="S331" s="93">
        <v>0.49</v>
      </c>
      <c r="T331" s="16"/>
      <c r="U331" s="30"/>
      <c r="V331" s="30"/>
      <c r="W331" s="30"/>
    </row>
    <row r="332" spans="1:23" s="92" customFormat="1" ht="13.5" customHeight="1">
      <c r="A332" s="99">
        <v>232</v>
      </c>
      <c r="B332" s="231" t="s">
        <v>91</v>
      </c>
      <c r="C332" s="232"/>
      <c r="D332" s="91">
        <v>100</v>
      </c>
      <c r="E332" s="93">
        <f>17.77*D332/80</f>
        <v>22.2125</v>
      </c>
      <c r="F332" s="93">
        <f>9.32*D332/80</f>
        <v>11.65</v>
      </c>
      <c r="G332" s="93">
        <f>2.39*D332/80</f>
        <v>2.9875</v>
      </c>
      <c r="H332" s="93">
        <f t="shared" si="87"/>
        <v>205.64999999999998</v>
      </c>
      <c r="I332" s="93">
        <f>0.18*D332/80</f>
        <v>0.225</v>
      </c>
      <c r="J332" s="93">
        <f>0.15*D332/80</f>
        <v>0.1875</v>
      </c>
      <c r="K332" s="90">
        <f>0.84*D332/80</f>
        <v>1.05</v>
      </c>
      <c r="L332" s="93">
        <f>0.0253*D332/80</f>
        <v>0.031625</v>
      </c>
      <c r="M332" s="89">
        <f>0.1*D332/80</f>
        <v>0.125</v>
      </c>
      <c r="N332" s="93">
        <f>33.32*D332/80</f>
        <v>41.65</v>
      </c>
      <c r="O332" s="93">
        <f>100.08*D332/80</f>
        <v>125.1</v>
      </c>
      <c r="P332" s="93">
        <f>0.2196*D332/80</f>
        <v>0.27449999999999997</v>
      </c>
      <c r="Q332" s="94">
        <f>0.009*D332/80</f>
        <v>0.01125</v>
      </c>
      <c r="R332" s="93">
        <f>18.42*D332/80</f>
        <v>23.025000000000002</v>
      </c>
      <c r="S332" s="93">
        <f>0.63*D332/80</f>
        <v>0.7875</v>
      </c>
      <c r="T332" s="16"/>
      <c r="U332" s="30"/>
      <c r="V332" s="30"/>
      <c r="W332" s="30"/>
    </row>
    <row r="333" spans="1:23" s="92" customFormat="1" ht="15" customHeight="1">
      <c r="A333" s="99">
        <v>312</v>
      </c>
      <c r="B333" s="231" t="s">
        <v>48</v>
      </c>
      <c r="C333" s="232"/>
      <c r="D333" s="91">
        <v>180</v>
      </c>
      <c r="E333" s="93">
        <f>D333*3.29/150</f>
        <v>3.9480000000000004</v>
      </c>
      <c r="F333" s="93">
        <f>D333*7.06/150</f>
        <v>8.472</v>
      </c>
      <c r="G333" s="93">
        <f>D333*22.21/150</f>
        <v>26.652</v>
      </c>
      <c r="H333" s="93">
        <f t="shared" si="87"/>
        <v>198.648</v>
      </c>
      <c r="I333" s="93">
        <f>D333*0.16/150</f>
        <v>0.192</v>
      </c>
      <c r="J333" s="93">
        <f>D333*0.13/150</f>
        <v>0.15600000000000003</v>
      </c>
      <c r="K333" s="93">
        <f>D333*0.73/150</f>
        <v>0.876</v>
      </c>
      <c r="L333" s="94">
        <f>D333*0.08/150</f>
        <v>0.096</v>
      </c>
      <c r="M333" s="89">
        <f>1.5*D333/150</f>
        <v>1.8</v>
      </c>
      <c r="N333" s="93">
        <f>D333*42.54/150</f>
        <v>51.048</v>
      </c>
      <c r="O333" s="90">
        <f>D333*97.75/150</f>
        <v>117.3</v>
      </c>
      <c r="P333" s="94">
        <f>0.299*D333/150</f>
        <v>0.3588</v>
      </c>
      <c r="Q333" s="94">
        <f>0.001*D333/150</f>
        <v>0.0012</v>
      </c>
      <c r="R333" s="93">
        <f>D333*33.06/150</f>
        <v>39.672000000000004</v>
      </c>
      <c r="S333" s="93">
        <f>D333*1.19/150</f>
        <v>1.428</v>
      </c>
      <c r="T333" s="16"/>
      <c r="U333" s="30"/>
      <c r="V333" s="30"/>
      <c r="W333" s="30"/>
    </row>
    <row r="334" spans="1:23" s="6" customFormat="1" ht="9.75">
      <c r="A334" s="117">
        <v>350</v>
      </c>
      <c r="B334" s="224" t="s">
        <v>161</v>
      </c>
      <c r="C334" s="225"/>
      <c r="D334" s="80">
        <v>200</v>
      </c>
      <c r="E334" s="77"/>
      <c r="F334" s="77"/>
      <c r="G334" s="77">
        <v>18</v>
      </c>
      <c r="H334" s="77">
        <f>E334*4+F334*9+G334*4</f>
        <v>72</v>
      </c>
      <c r="I334" s="112"/>
      <c r="J334" s="112"/>
      <c r="K334" s="78">
        <v>0.9</v>
      </c>
      <c r="L334" s="112"/>
      <c r="M334" s="112"/>
      <c r="N334" s="77">
        <v>0.35</v>
      </c>
      <c r="O334" s="78"/>
      <c r="P334" s="78"/>
      <c r="Q334" s="78"/>
      <c r="R334" s="78"/>
      <c r="S334" s="77">
        <v>0.4</v>
      </c>
      <c r="T334" s="21"/>
      <c r="U334" s="32"/>
      <c r="V334" s="32"/>
      <c r="W334" s="32"/>
    </row>
    <row r="335" spans="1:23" s="6" customFormat="1" ht="11.25" customHeight="1">
      <c r="A335" s="99" t="s">
        <v>87</v>
      </c>
      <c r="B335" s="231" t="s">
        <v>47</v>
      </c>
      <c r="C335" s="232"/>
      <c r="D335" s="91">
        <v>40</v>
      </c>
      <c r="E335" s="93">
        <f>2.64*D335/40</f>
        <v>2.64</v>
      </c>
      <c r="F335" s="93">
        <f>0.48*D335/40</f>
        <v>0.48</v>
      </c>
      <c r="G335" s="93">
        <f>13.68*D335/40</f>
        <v>13.680000000000001</v>
      </c>
      <c r="H335" s="90">
        <f t="shared" si="87"/>
        <v>69.60000000000001</v>
      </c>
      <c r="I335" s="89">
        <f>0.08*D335/40</f>
        <v>0.08</v>
      </c>
      <c r="J335" s="93">
        <f>0.04*D335/40</f>
        <v>0.04</v>
      </c>
      <c r="K335" s="91">
        <v>0</v>
      </c>
      <c r="L335" s="91">
        <v>0</v>
      </c>
      <c r="M335" s="93">
        <f>2.4*D335/100</f>
        <v>0.96</v>
      </c>
      <c r="N335" s="93">
        <f>14*D335/40</f>
        <v>14</v>
      </c>
      <c r="O335" s="93">
        <f>63.2*D335/40</f>
        <v>63.2</v>
      </c>
      <c r="P335" s="93">
        <f>1.2*D335/40</f>
        <v>1.2</v>
      </c>
      <c r="Q335" s="94">
        <f>0.001*D335/40</f>
        <v>0.001</v>
      </c>
      <c r="R335" s="93">
        <f>9.4*D335/40</f>
        <v>9.4</v>
      </c>
      <c r="S335" s="89">
        <f>0.78*D335/40</f>
        <v>0.78</v>
      </c>
      <c r="T335" s="38"/>
      <c r="U335" s="39"/>
      <c r="V335" s="39"/>
      <c r="W335" s="39"/>
    </row>
    <row r="336" spans="1:23" s="6" customFormat="1" ht="11.25" customHeight="1">
      <c r="A336" s="99" t="s">
        <v>87</v>
      </c>
      <c r="B336" s="231" t="s">
        <v>60</v>
      </c>
      <c r="C336" s="232"/>
      <c r="D336" s="91">
        <v>40</v>
      </c>
      <c r="E336" s="93">
        <f>1.52*D336/30</f>
        <v>2.0266666666666664</v>
      </c>
      <c r="F336" s="94">
        <f>0.16*D336/30</f>
        <v>0.21333333333333335</v>
      </c>
      <c r="G336" s="94">
        <f>9.84*D336/30</f>
        <v>13.120000000000001</v>
      </c>
      <c r="H336" s="94">
        <f t="shared" si="87"/>
        <v>62.50666666666667</v>
      </c>
      <c r="I336" s="94">
        <f>0.02*D336/30</f>
        <v>0.02666666666666667</v>
      </c>
      <c r="J336" s="94">
        <f>0.01*D336/30</f>
        <v>0.013333333333333334</v>
      </c>
      <c r="K336" s="94">
        <f>0.44*D336/30</f>
        <v>0.5866666666666667</v>
      </c>
      <c r="L336" s="94">
        <v>0</v>
      </c>
      <c r="M336" s="94">
        <f>0.7*D336/30</f>
        <v>0.9333333333333333</v>
      </c>
      <c r="N336" s="94">
        <f>4*D336/30</f>
        <v>5.333333333333333</v>
      </c>
      <c r="O336" s="94">
        <f>13*D336/30</f>
        <v>17.333333333333332</v>
      </c>
      <c r="P336" s="94">
        <f>0.008*D336/30</f>
        <v>0.010666666666666666</v>
      </c>
      <c r="Q336" s="94">
        <f>0.001*D336/30</f>
        <v>0.0013333333333333333</v>
      </c>
      <c r="R336" s="94">
        <v>0</v>
      </c>
      <c r="S336" s="94">
        <f>0.22*D336/30</f>
        <v>0.29333333333333333</v>
      </c>
      <c r="T336" s="21"/>
      <c r="U336" s="32"/>
      <c r="V336" s="32"/>
      <c r="W336" s="32"/>
    </row>
    <row r="337" spans="1:23" s="6" customFormat="1" ht="11.25" customHeight="1">
      <c r="A337" s="155" t="s">
        <v>28</v>
      </c>
      <c r="B337" s="84"/>
      <c r="C337" s="84"/>
      <c r="D337" s="180">
        <v>925</v>
      </c>
      <c r="E337" s="50">
        <f>SUM(E330:E336)</f>
        <v>37.76716666666666</v>
      </c>
      <c r="F337" s="49">
        <f aca="true" t="shared" si="88" ref="F337:S337">SUM(F330:F336)</f>
        <v>35.05866666666666</v>
      </c>
      <c r="G337" s="49">
        <f t="shared" si="88"/>
        <v>92.73283333333335</v>
      </c>
      <c r="H337" s="49">
        <f t="shared" si="88"/>
        <v>837.528</v>
      </c>
      <c r="I337" s="49">
        <f t="shared" si="88"/>
        <v>0.5703333333333332</v>
      </c>
      <c r="J337" s="49">
        <f t="shared" si="88"/>
        <v>0.5035000000000001</v>
      </c>
      <c r="K337" s="49">
        <f t="shared" si="88"/>
        <v>24.302666666666667</v>
      </c>
      <c r="L337" s="49">
        <f t="shared" si="88"/>
        <v>0.21095833333333336</v>
      </c>
      <c r="M337" s="49">
        <f t="shared" si="88"/>
        <v>4.084</v>
      </c>
      <c r="N337" s="49">
        <f t="shared" si="88"/>
        <v>319.57133333333337</v>
      </c>
      <c r="O337" s="49">
        <f t="shared" si="88"/>
        <v>462.15999999999997</v>
      </c>
      <c r="P337" s="49">
        <f t="shared" si="88"/>
        <v>4.000633333333333</v>
      </c>
      <c r="Q337" s="49">
        <f t="shared" si="88"/>
        <v>0.01845</v>
      </c>
      <c r="R337" s="49">
        <f t="shared" si="88"/>
        <v>110.43033333333335</v>
      </c>
      <c r="S337" s="49">
        <f t="shared" si="88"/>
        <v>5.578833333333333</v>
      </c>
      <c r="T337" s="49"/>
      <c r="U337" s="52"/>
      <c r="V337" s="52"/>
      <c r="W337" s="52"/>
    </row>
    <row r="338" spans="1:23" s="6" customFormat="1" ht="11.25" customHeight="1">
      <c r="A338" s="228" t="s">
        <v>73</v>
      </c>
      <c r="B338" s="229"/>
      <c r="C338" s="229"/>
      <c r="D338" s="230"/>
      <c r="E338" s="126">
        <f aca="true" t="shared" si="89" ref="E338:S338">E337/E345</f>
        <v>0.4196351851851851</v>
      </c>
      <c r="F338" s="55">
        <f t="shared" si="89"/>
        <v>0.3810724637681159</v>
      </c>
      <c r="G338" s="55">
        <f t="shared" si="89"/>
        <v>0.2421222802436902</v>
      </c>
      <c r="H338" s="55">
        <f t="shared" si="89"/>
        <v>0.3079147058823529</v>
      </c>
      <c r="I338" s="55">
        <f t="shared" si="89"/>
        <v>0.40738095238095234</v>
      </c>
      <c r="J338" s="55">
        <f t="shared" si="89"/>
        <v>0.3146875</v>
      </c>
      <c r="K338" s="55">
        <f t="shared" si="89"/>
        <v>0.34718095238095237</v>
      </c>
      <c r="L338" s="55">
        <f t="shared" si="89"/>
        <v>0.23439814814814816</v>
      </c>
      <c r="M338" s="55">
        <f t="shared" si="89"/>
        <v>0.3403333333333333</v>
      </c>
      <c r="N338" s="55">
        <f t="shared" si="89"/>
        <v>0.2663094444444445</v>
      </c>
      <c r="O338" s="55">
        <f t="shared" si="89"/>
        <v>0.3851333333333333</v>
      </c>
      <c r="P338" s="55">
        <f t="shared" si="89"/>
        <v>0.2857595238095238</v>
      </c>
      <c r="Q338" s="55">
        <f t="shared" si="89"/>
        <v>0.1845</v>
      </c>
      <c r="R338" s="55">
        <f t="shared" si="89"/>
        <v>0.36810111111111116</v>
      </c>
      <c r="S338" s="55">
        <f t="shared" si="89"/>
        <v>0.30993518518518515</v>
      </c>
      <c r="T338" s="61"/>
      <c r="U338" s="52"/>
      <c r="V338" s="52"/>
      <c r="W338" s="52"/>
    </row>
    <row r="339" spans="1:23" s="6" customFormat="1" ht="11.25" customHeight="1">
      <c r="A339" s="237" t="s">
        <v>29</v>
      </c>
      <c r="B339" s="238"/>
      <c r="C339" s="238"/>
      <c r="D339" s="238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9"/>
      <c r="T339" s="16"/>
      <c r="U339" s="30"/>
      <c r="V339" s="30"/>
      <c r="W339" s="30"/>
    </row>
    <row r="340" spans="1:23" s="6" customFormat="1" ht="9.75">
      <c r="A340" s="99">
        <v>401</v>
      </c>
      <c r="B340" s="233" t="s">
        <v>141</v>
      </c>
      <c r="C340" s="233"/>
      <c r="D340" s="89" t="s">
        <v>57</v>
      </c>
      <c r="E340" s="93">
        <v>10.9</v>
      </c>
      <c r="F340" s="90">
        <v>11.9</v>
      </c>
      <c r="G340" s="90">
        <v>57.3</v>
      </c>
      <c r="H340" s="90">
        <f>E340*4+F340*9+G340*4</f>
        <v>379.9</v>
      </c>
      <c r="I340" s="93">
        <v>0.15</v>
      </c>
      <c r="J340" s="93">
        <v>0.15</v>
      </c>
      <c r="K340" s="93">
        <v>0.15</v>
      </c>
      <c r="L340" s="93">
        <v>0.11</v>
      </c>
      <c r="M340" s="89">
        <v>1.6</v>
      </c>
      <c r="N340" s="93">
        <v>77.25</v>
      </c>
      <c r="O340" s="93">
        <v>135.45</v>
      </c>
      <c r="P340" s="90">
        <v>1.3</v>
      </c>
      <c r="Q340" s="93">
        <v>0.01</v>
      </c>
      <c r="R340" s="90">
        <v>23.6</v>
      </c>
      <c r="S340" s="93">
        <v>0.4</v>
      </c>
      <c r="T340" s="21"/>
      <c r="U340" s="32"/>
      <c r="V340" s="32"/>
      <c r="W340" s="32"/>
    </row>
    <row r="341" spans="1:23" s="6" customFormat="1" ht="9.75">
      <c r="A341" s="117">
        <v>377</v>
      </c>
      <c r="B341" s="234" t="s">
        <v>46</v>
      </c>
      <c r="C341" s="234"/>
      <c r="D341" s="91" t="s">
        <v>52</v>
      </c>
      <c r="E341" s="93">
        <v>0.26</v>
      </c>
      <c r="F341" s="93">
        <v>0.06</v>
      </c>
      <c r="G341" s="93">
        <v>15.22</v>
      </c>
      <c r="H341" s="93">
        <f>E341*4+F341*9+G341*4</f>
        <v>62.46</v>
      </c>
      <c r="I341" s="93"/>
      <c r="J341" s="93">
        <v>0.01</v>
      </c>
      <c r="K341" s="93">
        <v>2.9</v>
      </c>
      <c r="L341" s="89">
        <v>0</v>
      </c>
      <c r="M341" s="93">
        <v>0.06</v>
      </c>
      <c r="N341" s="93">
        <v>8.05</v>
      </c>
      <c r="O341" s="93">
        <v>9.78</v>
      </c>
      <c r="P341" s="93">
        <v>0.017</v>
      </c>
      <c r="Q341" s="94">
        <v>0</v>
      </c>
      <c r="R341" s="93">
        <v>5.24</v>
      </c>
      <c r="S341" s="93">
        <v>0.87</v>
      </c>
      <c r="T341" s="21"/>
      <c r="U341" s="32"/>
      <c r="V341" s="32"/>
      <c r="W341" s="32"/>
    </row>
    <row r="342" spans="1:23" s="1" customFormat="1" ht="11.25" customHeight="1">
      <c r="A342" s="155" t="s">
        <v>30</v>
      </c>
      <c r="B342" s="84"/>
      <c r="C342" s="84"/>
      <c r="D342" s="105">
        <v>374</v>
      </c>
      <c r="E342" s="50">
        <f>SUM(E340:E341)</f>
        <v>11.16</v>
      </c>
      <c r="F342" s="49">
        <f>SUM(F340:F341)</f>
        <v>11.96</v>
      </c>
      <c r="G342" s="49">
        <f>SUM(G340:G341)</f>
        <v>72.52</v>
      </c>
      <c r="H342" s="49">
        <f>SUM(H340:H341)</f>
        <v>442.35999999999996</v>
      </c>
      <c r="I342" s="50">
        <f aca="true" t="shared" si="90" ref="I342:S342">SUM(I340:I341)</f>
        <v>0.15</v>
      </c>
      <c r="J342" s="50">
        <f t="shared" si="90"/>
        <v>0.16</v>
      </c>
      <c r="K342" s="49">
        <f t="shared" si="90"/>
        <v>3.05</v>
      </c>
      <c r="L342" s="49">
        <f t="shared" si="90"/>
        <v>0.11</v>
      </c>
      <c r="M342" s="49">
        <f t="shared" si="90"/>
        <v>1.6600000000000001</v>
      </c>
      <c r="N342" s="49">
        <f t="shared" si="90"/>
        <v>85.3</v>
      </c>
      <c r="O342" s="49">
        <f t="shared" si="90"/>
        <v>145.23</v>
      </c>
      <c r="P342" s="49">
        <f t="shared" si="90"/>
        <v>1.317</v>
      </c>
      <c r="Q342" s="51">
        <f t="shared" si="90"/>
        <v>0.01</v>
      </c>
      <c r="R342" s="49">
        <f t="shared" si="90"/>
        <v>28.840000000000003</v>
      </c>
      <c r="S342" s="50">
        <f t="shared" si="90"/>
        <v>1.27</v>
      </c>
      <c r="T342" s="49"/>
      <c r="U342" s="52"/>
      <c r="V342" s="52"/>
      <c r="W342" s="52"/>
    </row>
    <row r="343" spans="1:23" s="1" customFormat="1" ht="11.25" customHeight="1">
      <c r="A343" s="249" t="s">
        <v>73</v>
      </c>
      <c r="B343" s="250"/>
      <c r="C343" s="250"/>
      <c r="D343" s="251"/>
      <c r="E343" s="98">
        <f>E342/E345</f>
        <v>0.124</v>
      </c>
      <c r="F343" s="55">
        <f aca="true" t="shared" si="91" ref="F343:S343">F342/F345</f>
        <v>0.13</v>
      </c>
      <c r="G343" s="55">
        <f t="shared" si="91"/>
        <v>0.18934725848563969</v>
      </c>
      <c r="H343" s="55">
        <f t="shared" si="91"/>
        <v>0.16263235294117645</v>
      </c>
      <c r="I343" s="55">
        <f t="shared" si="91"/>
        <v>0.10714285714285715</v>
      </c>
      <c r="J343" s="55">
        <f t="shared" si="91"/>
        <v>0.09999999999999999</v>
      </c>
      <c r="K343" s="55">
        <f t="shared" si="91"/>
        <v>0.043571428571428567</v>
      </c>
      <c r="L343" s="55">
        <f t="shared" si="91"/>
        <v>0.12222222222222222</v>
      </c>
      <c r="M343" s="55">
        <f t="shared" si="91"/>
        <v>0.13833333333333334</v>
      </c>
      <c r="N343" s="55">
        <f t="shared" si="91"/>
        <v>0.07108333333333333</v>
      </c>
      <c r="O343" s="55">
        <f t="shared" si="91"/>
        <v>0.121025</v>
      </c>
      <c r="P343" s="55">
        <f t="shared" si="91"/>
        <v>0.09407142857142857</v>
      </c>
      <c r="Q343" s="55">
        <f t="shared" si="91"/>
        <v>0.09999999999999999</v>
      </c>
      <c r="R343" s="55">
        <f t="shared" si="91"/>
        <v>0.09613333333333335</v>
      </c>
      <c r="S343" s="55">
        <f t="shared" si="91"/>
        <v>0.07055555555555555</v>
      </c>
      <c r="T343" s="61"/>
      <c r="U343" s="52"/>
      <c r="V343" s="52"/>
      <c r="W343" s="52"/>
    </row>
    <row r="344" spans="1:23" s="1" customFormat="1" ht="11.25" customHeight="1">
      <c r="A344" s="246" t="s">
        <v>72</v>
      </c>
      <c r="B344" s="247"/>
      <c r="C344" s="247"/>
      <c r="D344" s="248"/>
      <c r="E344" s="50">
        <f aca="true" t="shared" si="92" ref="E344:S344">SUM(E326,E337,E342)</f>
        <v>76.23383333333332</v>
      </c>
      <c r="F344" s="49">
        <f t="shared" si="92"/>
        <v>71.518</v>
      </c>
      <c r="G344" s="49">
        <f t="shared" si="92"/>
        <v>274.79283333333336</v>
      </c>
      <c r="H344" s="49">
        <f t="shared" si="92"/>
        <v>2047.7686666666666</v>
      </c>
      <c r="I344" s="50">
        <f t="shared" si="92"/>
        <v>1.166</v>
      </c>
      <c r="J344" s="50">
        <f t="shared" si="92"/>
        <v>0.9298333333333334</v>
      </c>
      <c r="K344" s="49">
        <f t="shared" si="92"/>
        <v>99.63233333333334</v>
      </c>
      <c r="L344" s="50">
        <f t="shared" si="92"/>
        <v>0.7739583333333333</v>
      </c>
      <c r="M344" s="50">
        <f t="shared" si="92"/>
        <v>10.667333333333332</v>
      </c>
      <c r="N344" s="49">
        <f t="shared" si="92"/>
        <v>601.6906666666666</v>
      </c>
      <c r="O344" s="49">
        <f t="shared" si="92"/>
        <v>1071.2653333333333</v>
      </c>
      <c r="P344" s="50">
        <f t="shared" si="92"/>
        <v>10.0343</v>
      </c>
      <c r="Q344" s="51">
        <f t="shared" si="92"/>
        <v>0.07458333333333333</v>
      </c>
      <c r="R344" s="50">
        <f t="shared" si="92"/>
        <v>222.76433333333335</v>
      </c>
      <c r="S344" s="50">
        <f t="shared" si="92"/>
        <v>11.344166666666666</v>
      </c>
      <c r="T344" s="53"/>
      <c r="U344" s="52"/>
      <c r="V344" s="52"/>
      <c r="W344" s="52"/>
    </row>
    <row r="345" spans="1:23" s="1" customFormat="1" ht="11.25" customHeight="1">
      <c r="A345" s="246" t="s">
        <v>74</v>
      </c>
      <c r="B345" s="247"/>
      <c r="C345" s="247"/>
      <c r="D345" s="248"/>
      <c r="E345" s="93">
        <v>90</v>
      </c>
      <c r="F345" s="90">
        <v>92</v>
      </c>
      <c r="G345" s="90">
        <v>383</v>
      </c>
      <c r="H345" s="90">
        <v>2720</v>
      </c>
      <c r="I345" s="93">
        <v>1.4</v>
      </c>
      <c r="J345" s="93">
        <v>1.6</v>
      </c>
      <c r="K345" s="91">
        <v>70</v>
      </c>
      <c r="L345" s="93">
        <v>0.9</v>
      </c>
      <c r="M345" s="91">
        <v>12</v>
      </c>
      <c r="N345" s="91">
        <v>1200</v>
      </c>
      <c r="O345" s="91">
        <v>1200</v>
      </c>
      <c r="P345" s="91">
        <v>14</v>
      </c>
      <c r="Q345" s="90">
        <v>0.1</v>
      </c>
      <c r="R345" s="91">
        <v>300</v>
      </c>
      <c r="S345" s="93">
        <v>18</v>
      </c>
      <c r="T345" s="21"/>
      <c r="U345" s="32"/>
      <c r="V345" s="32"/>
      <c r="W345" s="32"/>
    </row>
    <row r="346" spans="1:23" s="1" customFormat="1" ht="11.25" customHeight="1">
      <c r="A346" s="228" t="s">
        <v>73</v>
      </c>
      <c r="B346" s="229"/>
      <c r="C346" s="229"/>
      <c r="D346" s="230"/>
      <c r="E346" s="98">
        <f aca="true" t="shared" si="93" ref="E346:S346">E344/E345</f>
        <v>0.8470425925925925</v>
      </c>
      <c r="F346" s="55">
        <f t="shared" si="93"/>
        <v>0.7773695652173913</v>
      </c>
      <c r="G346" s="55">
        <f t="shared" si="93"/>
        <v>0.7174747606614448</v>
      </c>
      <c r="H346" s="55">
        <f t="shared" si="93"/>
        <v>0.7528561274509804</v>
      </c>
      <c r="I346" s="55">
        <f t="shared" si="93"/>
        <v>0.8328571428571429</v>
      </c>
      <c r="J346" s="55">
        <f t="shared" si="93"/>
        <v>0.5811458333333334</v>
      </c>
      <c r="K346" s="57">
        <f t="shared" si="93"/>
        <v>1.4233190476190476</v>
      </c>
      <c r="L346" s="57">
        <f t="shared" si="93"/>
        <v>0.8599537037037036</v>
      </c>
      <c r="M346" s="57">
        <f t="shared" si="93"/>
        <v>0.8889444444444443</v>
      </c>
      <c r="N346" s="55">
        <f t="shared" si="93"/>
        <v>0.5014088888888889</v>
      </c>
      <c r="O346" s="55">
        <f t="shared" si="93"/>
        <v>0.8927211111111111</v>
      </c>
      <c r="P346" s="55">
        <f t="shared" si="93"/>
        <v>0.7167357142857143</v>
      </c>
      <c r="Q346" s="57">
        <f t="shared" si="93"/>
        <v>0.7458333333333333</v>
      </c>
      <c r="R346" s="55">
        <f t="shared" si="93"/>
        <v>0.7425477777777778</v>
      </c>
      <c r="S346" s="57">
        <f t="shared" si="93"/>
        <v>0.6302314814814814</v>
      </c>
      <c r="T346" s="58"/>
      <c r="U346" s="59"/>
      <c r="V346" s="59"/>
      <c r="W346" s="59"/>
    </row>
    <row r="347" spans="1:23" s="1" customFormat="1" ht="11.25" customHeight="1">
      <c r="A347" s="156" t="s">
        <v>158</v>
      </c>
      <c r="B347" s="134"/>
      <c r="C347" s="135"/>
      <c r="D347" s="135"/>
      <c r="E347" s="136"/>
      <c r="F347" s="137"/>
      <c r="G347" s="138"/>
      <c r="H347" s="6"/>
      <c r="I347" s="6"/>
      <c r="J347" s="6"/>
      <c r="K347" s="6"/>
      <c r="L347" s="244"/>
      <c r="M347" s="244"/>
      <c r="N347" s="244"/>
      <c r="O347" s="244"/>
      <c r="P347" s="244"/>
      <c r="Q347" s="244"/>
      <c r="R347" s="244"/>
      <c r="S347" s="244"/>
      <c r="T347" s="17"/>
      <c r="U347" s="25"/>
      <c r="V347" s="25"/>
      <c r="W347" s="25"/>
    </row>
    <row r="348" spans="1:23" s="1" customFormat="1" ht="11.25" customHeight="1">
      <c r="A348" s="156"/>
      <c r="B348" s="134"/>
      <c r="C348" s="135"/>
      <c r="D348" s="135"/>
      <c r="E348" s="136"/>
      <c r="F348" s="137"/>
      <c r="G348" s="138"/>
      <c r="H348" s="137"/>
      <c r="I348" s="137"/>
      <c r="J348" s="137"/>
      <c r="K348" s="137"/>
      <c r="L348" s="244" t="s">
        <v>86</v>
      </c>
      <c r="M348" s="244"/>
      <c r="N348" s="244"/>
      <c r="O348" s="244"/>
      <c r="P348" s="244"/>
      <c r="Q348" s="244"/>
      <c r="R348" s="244"/>
      <c r="S348" s="244"/>
      <c r="T348" s="17"/>
      <c r="U348" s="25"/>
      <c r="V348" s="25"/>
      <c r="W348" s="25"/>
    </row>
    <row r="349" spans="1:23" s="1" customFormat="1" ht="11.25" customHeight="1">
      <c r="A349" s="256" t="s">
        <v>44</v>
      </c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18"/>
      <c r="U349" s="31"/>
      <c r="V349" s="31"/>
      <c r="W349" s="31"/>
    </row>
    <row r="350" spans="1:23" s="1" customFormat="1" ht="11.25" customHeight="1">
      <c r="A350" s="151" t="s">
        <v>64</v>
      </c>
      <c r="B350" s="70"/>
      <c r="C350" s="70"/>
      <c r="D350" s="2"/>
      <c r="E350" s="44"/>
      <c r="F350" s="243" t="s">
        <v>38</v>
      </c>
      <c r="G350" s="243"/>
      <c r="H350" s="243"/>
      <c r="I350" s="6"/>
      <c r="J350" s="6"/>
      <c r="K350" s="252" t="s">
        <v>1</v>
      </c>
      <c r="L350" s="252"/>
      <c r="M350" s="280" t="s">
        <v>82</v>
      </c>
      <c r="N350" s="280"/>
      <c r="O350" s="280"/>
      <c r="P350" s="280"/>
      <c r="Q350" s="6"/>
      <c r="R350" s="6"/>
      <c r="S350" s="6"/>
      <c r="T350" s="19"/>
      <c r="U350" s="26"/>
      <c r="V350" s="26"/>
      <c r="W350" s="26"/>
    </row>
    <row r="351" spans="1:23" s="1" customFormat="1" ht="11.25" customHeight="1">
      <c r="A351" s="152"/>
      <c r="B351" s="70"/>
      <c r="C351" s="70"/>
      <c r="D351" s="252" t="s">
        <v>2</v>
      </c>
      <c r="E351" s="252"/>
      <c r="F351" s="11">
        <v>2</v>
      </c>
      <c r="G351" s="6"/>
      <c r="H351" s="2"/>
      <c r="I351" s="2"/>
      <c r="J351" s="2"/>
      <c r="K351" s="252" t="s">
        <v>3</v>
      </c>
      <c r="L351" s="252"/>
      <c r="M351" s="243" t="s">
        <v>146</v>
      </c>
      <c r="N351" s="243"/>
      <c r="O351" s="243"/>
      <c r="P351" s="243"/>
      <c r="Q351" s="243"/>
      <c r="R351" s="243"/>
      <c r="S351" s="243"/>
      <c r="T351" s="20"/>
      <c r="U351" s="27"/>
      <c r="V351" s="27"/>
      <c r="W351" s="27"/>
    </row>
    <row r="352" spans="1:23" s="1" customFormat="1" ht="21.75" customHeight="1">
      <c r="A352" s="254" t="s">
        <v>4</v>
      </c>
      <c r="B352" s="254" t="s">
        <v>5</v>
      </c>
      <c r="C352" s="254"/>
      <c r="D352" s="254" t="s">
        <v>6</v>
      </c>
      <c r="E352" s="240" t="s">
        <v>7</v>
      </c>
      <c r="F352" s="241"/>
      <c r="G352" s="242"/>
      <c r="H352" s="254" t="s">
        <v>8</v>
      </c>
      <c r="I352" s="258" t="s">
        <v>9</v>
      </c>
      <c r="J352" s="258"/>
      <c r="K352" s="258"/>
      <c r="L352" s="258"/>
      <c r="M352" s="258"/>
      <c r="N352" s="258" t="s">
        <v>10</v>
      </c>
      <c r="O352" s="258"/>
      <c r="P352" s="258"/>
      <c r="Q352" s="258"/>
      <c r="R352" s="258"/>
      <c r="S352" s="258"/>
      <c r="T352" s="14"/>
      <c r="U352" s="28"/>
      <c r="V352" s="28"/>
      <c r="W352" s="28"/>
    </row>
    <row r="353" spans="1:23" s="1" customFormat="1" ht="21" customHeight="1">
      <c r="A353" s="255"/>
      <c r="B353" s="259"/>
      <c r="C353" s="260"/>
      <c r="D353" s="255"/>
      <c r="E353" s="119" t="s">
        <v>11</v>
      </c>
      <c r="F353" s="47" t="s">
        <v>12</v>
      </c>
      <c r="G353" s="47" t="s">
        <v>13</v>
      </c>
      <c r="H353" s="255"/>
      <c r="I353" s="47" t="s">
        <v>14</v>
      </c>
      <c r="J353" s="47" t="s">
        <v>66</v>
      </c>
      <c r="K353" s="47" t="s">
        <v>15</v>
      </c>
      <c r="L353" s="47" t="s">
        <v>16</v>
      </c>
      <c r="M353" s="47" t="s">
        <v>17</v>
      </c>
      <c r="N353" s="47" t="s">
        <v>18</v>
      </c>
      <c r="O353" s="47" t="s">
        <v>19</v>
      </c>
      <c r="P353" s="47" t="s">
        <v>67</v>
      </c>
      <c r="Q353" s="47" t="s">
        <v>68</v>
      </c>
      <c r="R353" s="47" t="s">
        <v>20</v>
      </c>
      <c r="S353" s="47" t="s">
        <v>21</v>
      </c>
      <c r="T353" s="14"/>
      <c r="U353" s="28"/>
      <c r="V353" s="28"/>
      <c r="W353" s="28"/>
    </row>
    <row r="354" spans="1:23" s="1" customFormat="1" ht="11.25" customHeight="1">
      <c r="A354" s="99">
        <v>1</v>
      </c>
      <c r="B354" s="253">
        <v>2</v>
      </c>
      <c r="C354" s="253"/>
      <c r="D354" s="48">
        <v>3</v>
      </c>
      <c r="E354" s="48">
        <v>4</v>
      </c>
      <c r="F354" s="48">
        <v>5</v>
      </c>
      <c r="G354" s="48">
        <v>6</v>
      </c>
      <c r="H354" s="48">
        <v>7</v>
      </c>
      <c r="I354" s="48">
        <v>8</v>
      </c>
      <c r="J354" s="48">
        <v>9</v>
      </c>
      <c r="K354" s="48">
        <v>10</v>
      </c>
      <c r="L354" s="48">
        <v>11</v>
      </c>
      <c r="M354" s="48">
        <v>12</v>
      </c>
      <c r="N354" s="48">
        <v>13</v>
      </c>
      <c r="O354" s="48">
        <v>14</v>
      </c>
      <c r="P354" s="48">
        <v>15</v>
      </c>
      <c r="Q354" s="48">
        <v>16</v>
      </c>
      <c r="R354" s="48">
        <v>17</v>
      </c>
      <c r="S354" s="48">
        <v>18</v>
      </c>
      <c r="T354" s="15"/>
      <c r="U354" s="29"/>
      <c r="V354" s="29"/>
      <c r="W354" s="29"/>
    </row>
    <row r="355" spans="1:23" s="1" customFormat="1" ht="11.25" customHeight="1">
      <c r="A355" s="237" t="s">
        <v>25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9"/>
      <c r="T355" s="16"/>
      <c r="U355" s="30"/>
      <c r="V355" s="30"/>
      <c r="W355" s="30"/>
    </row>
    <row r="356" spans="1:23" s="1" customFormat="1" ht="11.25" customHeight="1">
      <c r="A356" s="158">
        <v>131</v>
      </c>
      <c r="B356" s="224" t="s">
        <v>114</v>
      </c>
      <c r="C356" s="225"/>
      <c r="D356" s="80">
        <v>30</v>
      </c>
      <c r="E356" s="93">
        <f>4.6*D356/20</f>
        <v>6.9</v>
      </c>
      <c r="F356" s="89">
        <f>0.24*D356/20</f>
        <v>0.36</v>
      </c>
      <c r="G356" s="93">
        <f>10.66*D356/20</f>
        <v>15.99</v>
      </c>
      <c r="H356" s="93">
        <f aca="true" t="shared" si="94" ref="H356:H361">E356*4+F356*9+G356*4</f>
        <v>94.8</v>
      </c>
      <c r="I356" s="89">
        <f>0.16*D356/20</f>
        <v>0.24</v>
      </c>
      <c r="J356" s="89">
        <f>0.04*D356/20</f>
        <v>0.06</v>
      </c>
      <c r="K356" s="91">
        <v>0</v>
      </c>
      <c r="L356" s="94">
        <f>0.002*D356/20</f>
        <v>0.003</v>
      </c>
      <c r="M356" s="89">
        <f>1.82*D356/20</f>
        <v>2.73</v>
      </c>
      <c r="N356" s="90">
        <f>23*D356/20</f>
        <v>34.5</v>
      </c>
      <c r="O356" s="90">
        <f>65.8*D356/20</f>
        <v>98.7</v>
      </c>
      <c r="P356" s="93">
        <f>0.64*D356/20</f>
        <v>0.96</v>
      </c>
      <c r="Q356" s="94">
        <f>0.00102*D356/20</f>
        <v>0.0015300000000000001</v>
      </c>
      <c r="R356" s="90">
        <f>21.4*D356/20</f>
        <v>32.1</v>
      </c>
      <c r="S356" s="94">
        <f>0.004*D356/20</f>
        <v>0.006</v>
      </c>
      <c r="T356" s="16"/>
      <c r="U356" s="30"/>
      <c r="V356" s="30"/>
      <c r="W356" s="30"/>
    </row>
    <row r="357" spans="1:23" s="6" customFormat="1" ht="15" customHeight="1">
      <c r="A357" s="117">
        <v>15</v>
      </c>
      <c r="B357" s="224" t="s">
        <v>108</v>
      </c>
      <c r="C357" s="225"/>
      <c r="D357" s="80">
        <v>25</v>
      </c>
      <c r="E357" s="93">
        <f>2.32*D357/10</f>
        <v>5.799999999999999</v>
      </c>
      <c r="F357" s="93">
        <f>3.4*D357/10</f>
        <v>8.5</v>
      </c>
      <c r="G357" s="93">
        <f>0.01*D357/10</f>
        <v>0.025</v>
      </c>
      <c r="H357" s="93">
        <f t="shared" si="94"/>
        <v>99.79999999999998</v>
      </c>
      <c r="I357" s="93">
        <f>0.004*D357/10</f>
        <v>0.01</v>
      </c>
      <c r="J357" s="93">
        <f>0.03*D357/10</f>
        <v>0.075</v>
      </c>
      <c r="K357" s="93">
        <f>0.07*D357/10</f>
        <v>0.17500000000000002</v>
      </c>
      <c r="L357" s="94">
        <f>0.023*D357/10</f>
        <v>0.057499999999999996</v>
      </c>
      <c r="M357" s="93">
        <f>0.05*D357/10</f>
        <v>0.125</v>
      </c>
      <c r="N357" s="93">
        <f>88*D357/10</f>
        <v>220</v>
      </c>
      <c r="O357" s="93">
        <f>50*D357/10</f>
        <v>125</v>
      </c>
      <c r="P357" s="93">
        <f>0.4*D357/10</f>
        <v>1</v>
      </c>
      <c r="Q357" s="94">
        <f>0.02*D357/10</f>
        <v>0.05</v>
      </c>
      <c r="R357" s="93">
        <f>3.5*D357/10</f>
        <v>8.75</v>
      </c>
      <c r="S357" s="93">
        <f>0.13*D357/10</f>
        <v>0.325</v>
      </c>
      <c r="T357" s="21"/>
      <c r="U357" s="32"/>
      <c r="V357" s="32"/>
      <c r="W357" s="32"/>
    </row>
    <row r="358" spans="1:23" s="6" customFormat="1" ht="12.75" customHeight="1">
      <c r="A358" s="117">
        <v>210</v>
      </c>
      <c r="B358" s="224" t="s">
        <v>49</v>
      </c>
      <c r="C358" s="225"/>
      <c r="D358" s="80">
        <v>250</v>
      </c>
      <c r="E358" s="93">
        <f>16.29*D358/200</f>
        <v>20.3625</v>
      </c>
      <c r="F358" s="93">
        <f>18.99*D358/200</f>
        <v>23.7375</v>
      </c>
      <c r="G358" s="93">
        <f>5.04*D358/200</f>
        <v>6.3</v>
      </c>
      <c r="H358" s="93">
        <f t="shared" si="94"/>
        <v>320.2875</v>
      </c>
      <c r="I358" s="93">
        <f>0.117*D358/200</f>
        <v>0.14625</v>
      </c>
      <c r="J358" s="93">
        <f>0.27*D358/200</f>
        <v>0.3375</v>
      </c>
      <c r="K358" s="93">
        <f>0.324*D358/200</f>
        <v>0.405</v>
      </c>
      <c r="L358" s="93">
        <f>0.036*D358/200</f>
        <v>0.045</v>
      </c>
      <c r="M358" s="89">
        <f>1.94*D358/200</f>
        <v>2.425</v>
      </c>
      <c r="N358" s="93">
        <f>131.38*D358/200</f>
        <v>164.225</v>
      </c>
      <c r="O358" s="93">
        <f>248.5*D358/200</f>
        <v>310.625</v>
      </c>
      <c r="P358" s="93">
        <f>1.35*D358/200</f>
        <v>1.6875</v>
      </c>
      <c r="Q358" s="93">
        <f>0.03*D358/200</f>
        <v>0.0375</v>
      </c>
      <c r="R358" s="93">
        <f>21.55*D358/200</f>
        <v>26.9375</v>
      </c>
      <c r="S358" s="93">
        <f>1.51*D358/200</f>
        <v>1.8875</v>
      </c>
      <c r="T358" s="21"/>
      <c r="U358" s="32"/>
      <c r="V358" s="32"/>
      <c r="W358" s="32"/>
    </row>
    <row r="359" spans="1:23" s="92" customFormat="1" ht="11.25" customHeight="1">
      <c r="A359" s="117">
        <v>338</v>
      </c>
      <c r="B359" s="234" t="s">
        <v>155</v>
      </c>
      <c r="C359" s="234"/>
      <c r="D359" s="91">
        <v>100</v>
      </c>
      <c r="E359" s="93">
        <v>0.4</v>
      </c>
      <c r="F359" s="89">
        <v>0.4</v>
      </c>
      <c r="G359" s="90">
        <v>9.8</v>
      </c>
      <c r="H359" s="90">
        <f t="shared" si="94"/>
        <v>44.400000000000006</v>
      </c>
      <c r="I359" s="93">
        <v>0.04</v>
      </c>
      <c r="J359" s="93">
        <v>0.02</v>
      </c>
      <c r="K359" s="91">
        <v>10</v>
      </c>
      <c r="L359" s="91">
        <v>0.02</v>
      </c>
      <c r="M359" s="93">
        <v>0.2</v>
      </c>
      <c r="N359" s="93">
        <v>16</v>
      </c>
      <c r="O359" s="93">
        <v>11</v>
      </c>
      <c r="P359" s="91">
        <v>0.03</v>
      </c>
      <c r="Q359" s="91">
        <v>0.002</v>
      </c>
      <c r="R359" s="93">
        <v>9</v>
      </c>
      <c r="S359" s="93">
        <v>2.2</v>
      </c>
      <c r="T359" s="95"/>
      <c r="U359" s="96"/>
      <c r="V359" s="96"/>
      <c r="W359" s="96"/>
    </row>
    <row r="360" spans="1:23" s="6" customFormat="1" ht="11.25" customHeight="1">
      <c r="A360" s="117">
        <v>376</v>
      </c>
      <c r="B360" s="234" t="s">
        <v>76</v>
      </c>
      <c r="C360" s="234"/>
      <c r="D360" s="80">
        <v>200</v>
      </c>
      <c r="E360" s="93">
        <v>0.2</v>
      </c>
      <c r="F360" s="9">
        <v>0.05</v>
      </c>
      <c r="G360" s="9">
        <v>15.01</v>
      </c>
      <c r="H360" s="93">
        <f t="shared" si="94"/>
        <v>61.29</v>
      </c>
      <c r="I360" s="5">
        <v>0</v>
      </c>
      <c r="J360" s="9">
        <v>0.01</v>
      </c>
      <c r="K360" s="9">
        <v>9</v>
      </c>
      <c r="L360" s="42">
        <v>0.0001</v>
      </c>
      <c r="M360" s="3">
        <v>0.045</v>
      </c>
      <c r="N360" s="9">
        <v>5.25</v>
      </c>
      <c r="O360" s="9">
        <v>8.24</v>
      </c>
      <c r="P360" s="12">
        <v>0.008</v>
      </c>
      <c r="Q360" s="5">
        <v>0</v>
      </c>
      <c r="R360" s="4">
        <v>4.4</v>
      </c>
      <c r="S360" s="9">
        <v>0.87</v>
      </c>
      <c r="T360" s="21"/>
      <c r="U360" s="32"/>
      <c r="V360" s="32"/>
      <c r="W360" s="32"/>
    </row>
    <row r="361" spans="1:23" s="6" customFormat="1" ht="12.75" customHeight="1">
      <c r="A361" s="117" t="s">
        <v>87</v>
      </c>
      <c r="B361" s="224" t="s">
        <v>60</v>
      </c>
      <c r="C361" s="225"/>
      <c r="D361" s="80">
        <v>40</v>
      </c>
      <c r="E361" s="93">
        <f>1.52*D361/30</f>
        <v>2.0266666666666664</v>
      </c>
      <c r="F361" s="94">
        <f>0.16*D361/30</f>
        <v>0.21333333333333335</v>
      </c>
      <c r="G361" s="94">
        <f>9.84*D361/30</f>
        <v>13.120000000000001</v>
      </c>
      <c r="H361" s="94">
        <f t="shared" si="94"/>
        <v>62.50666666666667</v>
      </c>
      <c r="I361" s="94">
        <f>0.02*D361/30</f>
        <v>0.02666666666666667</v>
      </c>
      <c r="J361" s="94">
        <f>0.01*D361/30</f>
        <v>0.013333333333333334</v>
      </c>
      <c r="K361" s="94">
        <f>0.44*D361/30</f>
        <v>0.5866666666666667</v>
      </c>
      <c r="L361" s="94">
        <v>0</v>
      </c>
      <c r="M361" s="94">
        <f>0.7*D361/30</f>
        <v>0.9333333333333333</v>
      </c>
      <c r="N361" s="94">
        <f>4*D361/30</f>
        <v>5.333333333333333</v>
      </c>
      <c r="O361" s="94">
        <f>13*D361/30</f>
        <v>17.333333333333332</v>
      </c>
      <c r="P361" s="94">
        <f>0.008*D361/30</f>
        <v>0.010666666666666666</v>
      </c>
      <c r="Q361" s="94">
        <f>0.001*D361/30</f>
        <v>0.0013333333333333333</v>
      </c>
      <c r="R361" s="94">
        <v>0</v>
      </c>
      <c r="S361" s="94">
        <f>0.22*D361/30</f>
        <v>0.29333333333333333</v>
      </c>
      <c r="T361" s="21"/>
      <c r="U361" s="32"/>
      <c r="V361" s="32"/>
      <c r="W361" s="32"/>
    </row>
    <row r="362" spans="1:23" s="6" customFormat="1" ht="11.25" customHeight="1">
      <c r="A362" s="155" t="s">
        <v>26</v>
      </c>
      <c r="B362" s="84"/>
      <c r="C362" s="84"/>
      <c r="D362" s="189">
        <f>SUM(D356:D361)</f>
        <v>645</v>
      </c>
      <c r="E362" s="50">
        <f aca="true" t="shared" si="95" ref="E362:S362">SUM(E356:E361)</f>
        <v>35.689166666666665</v>
      </c>
      <c r="F362" s="62">
        <f t="shared" si="95"/>
        <v>33.26083333333332</v>
      </c>
      <c r="G362" s="62">
        <f t="shared" si="95"/>
        <v>60.245000000000005</v>
      </c>
      <c r="H362" s="49">
        <f t="shared" si="95"/>
        <v>683.0841666666666</v>
      </c>
      <c r="I362" s="50">
        <f t="shared" si="95"/>
        <v>0.46291666666666664</v>
      </c>
      <c r="J362" s="50">
        <f t="shared" si="95"/>
        <v>0.5158333333333334</v>
      </c>
      <c r="K362" s="50">
        <f t="shared" si="95"/>
        <v>20.166666666666664</v>
      </c>
      <c r="L362" s="50">
        <f t="shared" si="95"/>
        <v>0.1256</v>
      </c>
      <c r="M362" s="49">
        <f t="shared" si="95"/>
        <v>6.458333333333333</v>
      </c>
      <c r="N362" s="49">
        <f t="shared" si="95"/>
        <v>445.30833333333334</v>
      </c>
      <c r="O362" s="49">
        <f t="shared" si="95"/>
        <v>570.8983333333334</v>
      </c>
      <c r="P362" s="49">
        <f t="shared" si="95"/>
        <v>3.6961666666666666</v>
      </c>
      <c r="Q362" s="50">
        <f t="shared" si="95"/>
        <v>0.09236333333333334</v>
      </c>
      <c r="R362" s="49">
        <f t="shared" si="95"/>
        <v>81.1875</v>
      </c>
      <c r="S362" s="50">
        <f t="shared" si="95"/>
        <v>5.581833333333333</v>
      </c>
      <c r="T362" s="49"/>
      <c r="U362" s="52"/>
      <c r="V362" s="52"/>
      <c r="W362" s="52"/>
    </row>
    <row r="363" spans="1:23" s="6" customFormat="1" ht="11.25" customHeight="1">
      <c r="A363" s="249" t="s">
        <v>73</v>
      </c>
      <c r="B363" s="250"/>
      <c r="C363" s="250"/>
      <c r="D363" s="251"/>
      <c r="E363" s="126">
        <f>E362/E383</f>
        <v>0.3965462962962963</v>
      </c>
      <c r="F363" s="55">
        <f aca="true" t="shared" si="96" ref="F363:S363">F362/F383</f>
        <v>0.36153079710144914</v>
      </c>
      <c r="G363" s="55">
        <f t="shared" si="96"/>
        <v>0.1572976501305483</v>
      </c>
      <c r="H363" s="55">
        <f t="shared" si="96"/>
        <v>0.25113388480392157</v>
      </c>
      <c r="I363" s="55">
        <f t="shared" si="96"/>
        <v>0.3306547619047619</v>
      </c>
      <c r="J363" s="55">
        <f t="shared" si="96"/>
        <v>0.3223958333333333</v>
      </c>
      <c r="K363" s="55">
        <f t="shared" si="96"/>
        <v>0.28809523809523807</v>
      </c>
      <c r="L363" s="55">
        <f t="shared" si="96"/>
        <v>0.13955555555555554</v>
      </c>
      <c r="M363" s="55">
        <f t="shared" si="96"/>
        <v>0.5381944444444444</v>
      </c>
      <c r="N363" s="55">
        <f t="shared" si="96"/>
        <v>0.37109027777777776</v>
      </c>
      <c r="O363" s="55">
        <f t="shared" si="96"/>
        <v>0.47574861111111116</v>
      </c>
      <c r="P363" s="55">
        <f t="shared" si="96"/>
        <v>0.2640119047619048</v>
      </c>
      <c r="Q363" s="55">
        <f t="shared" si="96"/>
        <v>0.9236333333333333</v>
      </c>
      <c r="R363" s="55">
        <f t="shared" si="96"/>
        <v>0.270625</v>
      </c>
      <c r="S363" s="55">
        <f t="shared" si="96"/>
        <v>0.31010185185185185</v>
      </c>
      <c r="T363" s="61"/>
      <c r="U363" s="52"/>
      <c r="V363" s="52"/>
      <c r="W363" s="52"/>
    </row>
    <row r="364" spans="1:23" s="6" customFormat="1" ht="11.25" customHeight="1">
      <c r="A364" s="237" t="s">
        <v>27</v>
      </c>
      <c r="B364" s="238"/>
      <c r="C364" s="238"/>
      <c r="D364" s="238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9"/>
      <c r="T364" s="16"/>
      <c r="U364" s="30"/>
      <c r="V364" s="30"/>
      <c r="W364" s="30"/>
    </row>
    <row r="365" spans="1:23" s="92" customFormat="1" ht="11.25" customHeight="1">
      <c r="A365" s="190" t="s">
        <v>123</v>
      </c>
      <c r="B365" s="222" t="s">
        <v>149</v>
      </c>
      <c r="C365" s="223"/>
      <c r="D365" s="185">
        <v>100</v>
      </c>
      <c r="E365" s="186">
        <f>0.944*D365/60</f>
        <v>1.5733333333333333</v>
      </c>
      <c r="F365" s="185">
        <f>2.106*D365/60</f>
        <v>3.51</v>
      </c>
      <c r="G365" s="185">
        <f>2.661*D365/60</f>
        <v>4.4350000000000005</v>
      </c>
      <c r="H365" s="191">
        <f>E365*4+F365*9+G365*4</f>
        <v>55.62333333333333</v>
      </c>
      <c r="I365" s="192">
        <f>0.018*D365/60</f>
        <v>0.029999999999999995</v>
      </c>
      <c r="J365" s="192">
        <f>0.034*D365/60</f>
        <v>0.05666666666666667</v>
      </c>
      <c r="K365" s="186">
        <f>27.9*D365/60</f>
        <v>46.5</v>
      </c>
      <c r="L365" s="192">
        <f>0.002*D365/60</f>
        <v>0.0033333333333333335</v>
      </c>
      <c r="M365" s="192">
        <f>0.943*D365/60</f>
        <v>1.5716666666666665</v>
      </c>
      <c r="N365" s="186">
        <f>26.094*D365/60</f>
        <v>43.49</v>
      </c>
      <c r="O365" s="186">
        <f>19.035*D365/60</f>
        <v>31.725</v>
      </c>
      <c r="P365" s="192">
        <f>0.224*D365/60</f>
        <v>0.37333333333333335</v>
      </c>
      <c r="Q365" s="192">
        <f>0.014*D365/60</f>
        <v>0.023333333333333334</v>
      </c>
      <c r="R365" s="186">
        <f>9*D365/60</f>
        <v>15</v>
      </c>
      <c r="S365" s="186">
        <f>0.367*D365/60</f>
        <v>0.6116666666666667</v>
      </c>
      <c r="T365" s="16"/>
      <c r="U365" s="30"/>
      <c r="V365" s="30"/>
      <c r="W365" s="30"/>
    </row>
    <row r="366" spans="1:23" s="6" customFormat="1" ht="22.5" customHeight="1">
      <c r="A366" s="99">
        <v>24</v>
      </c>
      <c r="B366" s="274" t="s">
        <v>104</v>
      </c>
      <c r="C366" s="275"/>
      <c r="D366" s="91">
        <v>100</v>
      </c>
      <c r="E366" s="93">
        <f>0.3*D366/60</f>
        <v>0.5</v>
      </c>
      <c r="F366" s="93">
        <f>2*D366/60</f>
        <v>3.3333333333333335</v>
      </c>
      <c r="G366" s="93">
        <f>1.6*D366/60</f>
        <v>2.6666666666666665</v>
      </c>
      <c r="H366" s="93">
        <f>E366*4+F366*9+G366*4</f>
        <v>42.666666666666664</v>
      </c>
      <c r="I366" s="93">
        <f>0.06*D366/60</f>
        <v>0.1</v>
      </c>
      <c r="J366" s="93">
        <f>0.04*D366/60</f>
        <v>0.06666666666666667</v>
      </c>
      <c r="K366" s="93">
        <f>12.4*D366/60</f>
        <v>20.666666666666668</v>
      </c>
      <c r="L366" s="94">
        <f>0.001*D366/60</f>
        <v>0.0016666666666666668</v>
      </c>
      <c r="M366" s="93">
        <f>1.5*D366/60</f>
        <v>2.5</v>
      </c>
      <c r="N366" s="93">
        <f>28.2*D366/60</f>
        <v>47</v>
      </c>
      <c r="O366" s="93">
        <f>32.3*D366/60</f>
        <v>53.83333333333333</v>
      </c>
      <c r="P366" s="93">
        <f>0.3*D366/60</f>
        <v>0.5</v>
      </c>
      <c r="Q366" s="94">
        <f>0.002*D366/60</f>
        <v>0.0033333333333333335</v>
      </c>
      <c r="R366" s="93">
        <f>18.6*D366/60</f>
        <v>31.000000000000004</v>
      </c>
      <c r="S366" s="93">
        <f>0.5*D366/60</f>
        <v>0.8333333333333334</v>
      </c>
      <c r="T366" s="21"/>
      <c r="U366" s="32"/>
      <c r="V366" s="32"/>
      <c r="W366" s="32"/>
    </row>
    <row r="367" spans="1:23" s="6" customFormat="1" ht="22.5" customHeight="1">
      <c r="A367" s="117">
        <v>103</v>
      </c>
      <c r="B367" s="231" t="s">
        <v>97</v>
      </c>
      <c r="C367" s="232"/>
      <c r="D367" s="91">
        <v>250</v>
      </c>
      <c r="E367" s="93">
        <f>9.9*D367/200</f>
        <v>12.375</v>
      </c>
      <c r="F367" s="93">
        <f>8.9*D367/200</f>
        <v>11.125</v>
      </c>
      <c r="G367" s="93">
        <f>25.2*D367/200</f>
        <v>31.5</v>
      </c>
      <c r="H367" s="93">
        <f aca="true" t="shared" si="97" ref="H367:H372">E367*4+F367*9+G367*4</f>
        <v>275.625</v>
      </c>
      <c r="I367" s="94">
        <f>0.2*D367/200</f>
        <v>0.25</v>
      </c>
      <c r="J367" s="94">
        <f>0.05*D367/200</f>
        <v>0.0625</v>
      </c>
      <c r="K367" s="93">
        <f>6.6*D367/200</f>
        <v>8.25</v>
      </c>
      <c r="L367" s="93">
        <f>0.02*D367/200</f>
        <v>0.025</v>
      </c>
      <c r="M367" s="89">
        <v>0</v>
      </c>
      <c r="N367" s="90">
        <f>39.45*D367/200</f>
        <v>49.3125</v>
      </c>
      <c r="O367" s="90">
        <f>74.65*D367/200</f>
        <v>93.3125</v>
      </c>
      <c r="P367" s="91">
        <v>0</v>
      </c>
      <c r="Q367" s="91">
        <v>0</v>
      </c>
      <c r="R367" s="90">
        <f>21.82*D367/200</f>
        <v>27.275</v>
      </c>
      <c r="S367" s="93">
        <v>0.3</v>
      </c>
      <c r="T367" s="21"/>
      <c r="U367" s="32"/>
      <c r="V367" s="32"/>
      <c r="W367" s="32"/>
    </row>
    <row r="368" spans="1:23" s="6" customFormat="1" ht="12" customHeight="1">
      <c r="A368" s="117">
        <v>295</v>
      </c>
      <c r="B368" s="233" t="s">
        <v>84</v>
      </c>
      <c r="C368" s="233"/>
      <c r="D368" s="3">
        <v>100</v>
      </c>
      <c r="E368" s="93">
        <f>15.24*D368/100</f>
        <v>15.24</v>
      </c>
      <c r="F368" s="4">
        <f>5.8*D368/100</f>
        <v>5.8</v>
      </c>
      <c r="G368" s="4">
        <f>10.16*D368/100</f>
        <v>10.16</v>
      </c>
      <c r="H368" s="4">
        <f t="shared" si="97"/>
        <v>153.8</v>
      </c>
      <c r="I368" s="3">
        <f>0.09*D368/100</f>
        <v>0.09</v>
      </c>
      <c r="J368" s="9">
        <f>0.08*D368/100</f>
        <v>0.08</v>
      </c>
      <c r="K368" s="93">
        <f>0.24*D368/100</f>
        <v>0.24</v>
      </c>
      <c r="L368" s="94">
        <f>0.001*D368/100</f>
        <v>0.001</v>
      </c>
      <c r="M368" s="94">
        <f>0.074*D368/100</f>
        <v>0.074</v>
      </c>
      <c r="N368" s="4">
        <f>14.03*D368/100</f>
        <v>14.03</v>
      </c>
      <c r="O368" s="4">
        <f>93.98*D368/100</f>
        <v>93.98</v>
      </c>
      <c r="P368" s="9">
        <f>1.17*D368/100</f>
        <v>1.17</v>
      </c>
      <c r="Q368" s="12">
        <f>0.04*D368/100</f>
        <v>0.04</v>
      </c>
      <c r="R368" s="4">
        <f>16.24*D368/100</f>
        <v>16.24</v>
      </c>
      <c r="S368" s="9">
        <f>0.3*D367/200</f>
        <v>0.375</v>
      </c>
      <c r="T368" s="21"/>
      <c r="U368" s="32"/>
      <c r="V368" s="32"/>
      <c r="W368" s="32"/>
    </row>
    <row r="369" spans="1:23" s="6" customFormat="1" ht="12.75" customHeight="1">
      <c r="A369" s="117">
        <v>171</v>
      </c>
      <c r="B369" s="231" t="s">
        <v>23</v>
      </c>
      <c r="C369" s="232"/>
      <c r="D369" s="5">
        <v>180</v>
      </c>
      <c r="E369" s="93">
        <f>6.57*D369/150</f>
        <v>7.884000000000001</v>
      </c>
      <c r="F369" s="9">
        <f>4.19*D369/150</f>
        <v>5.0280000000000005</v>
      </c>
      <c r="G369" s="9">
        <f>32.32*D369/150</f>
        <v>38.784</v>
      </c>
      <c r="H369" s="9">
        <f t="shared" si="97"/>
        <v>231.924</v>
      </c>
      <c r="I369" s="94">
        <f>0.06*D369/150</f>
        <v>0.072</v>
      </c>
      <c r="J369" s="94">
        <f>0.03*D369/150</f>
        <v>0.036</v>
      </c>
      <c r="K369" s="3">
        <v>0</v>
      </c>
      <c r="L369" s="94">
        <f>0.03*D369/150</f>
        <v>0.036</v>
      </c>
      <c r="M369" s="3">
        <f>2.55*D369/150</f>
        <v>3.0599999999999996</v>
      </c>
      <c r="N369" s="9">
        <f>18.12*D369/150</f>
        <v>21.744000000000003</v>
      </c>
      <c r="O369" s="9">
        <f>157.03*D369/150</f>
        <v>188.436</v>
      </c>
      <c r="P369" s="94">
        <f>0.8874*D369/150</f>
        <v>1.06488</v>
      </c>
      <c r="Q369" s="94">
        <f>0.00135*D369/150</f>
        <v>0.0016200000000000001</v>
      </c>
      <c r="R369" s="9">
        <f>104.45*D369/150</f>
        <v>125.34</v>
      </c>
      <c r="S369" s="9">
        <f>3.55*D369/150</f>
        <v>4.26</v>
      </c>
      <c r="T369" s="21"/>
      <c r="U369" s="32"/>
      <c r="V369" s="32"/>
      <c r="W369" s="32"/>
    </row>
    <row r="370" spans="1:23" s="6" customFormat="1" ht="11.25" customHeight="1">
      <c r="A370" s="117">
        <v>389</v>
      </c>
      <c r="B370" s="231" t="s">
        <v>125</v>
      </c>
      <c r="C370" s="232"/>
      <c r="D370" s="91">
        <v>200</v>
      </c>
      <c r="E370" s="93">
        <v>1</v>
      </c>
      <c r="F370" s="93">
        <v>0.2</v>
      </c>
      <c r="G370" s="93">
        <v>20.2</v>
      </c>
      <c r="H370" s="93">
        <f>E370*4+F370*9+G370*4</f>
        <v>86.6</v>
      </c>
      <c r="I370" s="89">
        <v>0.02</v>
      </c>
      <c r="J370" s="89">
        <v>0.02</v>
      </c>
      <c r="K370" s="90">
        <v>4.8</v>
      </c>
      <c r="L370" s="89">
        <v>0</v>
      </c>
      <c r="M370" s="89">
        <v>0</v>
      </c>
      <c r="N370" s="90">
        <v>14</v>
      </c>
      <c r="O370" s="90">
        <v>18</v>
      </c>
      <c r="P370" s="90">
        <v>0.03</v>
      </c>
      <c r="Q370" s="90">
        <v>0</v>
      </c>
      <c r="R370" s="90">
        <v>8</v>
      </c>
      <c r="S370" s="93">
        <v>0.72</v>
      </c>
      <c r="T370" s="21"/>
      <c r="U370" s="32"/>
      <c r="V370" s="32"/>
      <c r="W370" s="32"/>
    </row>
    <row r="371" spans="1:23" s="6" customFormat="1" ht="11.25" customHeight="1">
      <c r="A371" s="99" t="s">
        <v>87</v>
      </c>
      <c r="B371" s="231" t="s">
        <v>47</v>
      </c>
      <c r="C371" s="232"/>
      <c r="D371" s="91">
        <v>40</v>
      </c>
      <c r="E371" s="93">
        <f>2.64*D371/40</f>
        <v>2.64</v>
      </c>
      <c r="F371" s="93">
        <f>0.48*D371/40</f>
        <v>0.48</v>
      </c>
      <c r="G371" s="93">
        <f>13.68*D371/40</f>
        <v>13.680000000000001</v>
      </c>
      <c r="H371" s="90">
        <f t="shared" si="97"/>
        <v>69.60000000000001</v>
      </c>
      <c r="I371" s="89">
        <f>0.08*D371/40</f>
        <v>0.08</v>
      </c>
      <c r="J371" s="93">
        <f>0.04*D371/40</f>
        <v>0.04</v>
      </c>
      <c r="K371" s="91">
        <v>0</v>
      </c>
      <c r="L371" s="91">
        <v>0</v>
      </c>
      <c r="M371" s="93">
        <f>2.4*D371/100</f>
        <v>0.96</v>
      </c>
      <c r="N371" s="93">
        <f>14*D371/40</f>
        <v>14</v>
      </c>
      <c r="O371" s="93">
        <f>63.2*D371/40</f>
        <v>63.2</v>
      </c>
      <c r="P371" s="93">
        <f>1.2*D371/40</f>
        <v>1.2</v>
      </c>
      <c r="Q371" s="94">
        <f>0.001*D371/40</f>
        <v>0.001</v>
      </c>
      <c r="R371" s="93">
        <f>9.4*D371/40</f>
        <v>9.4</v>
      </c>
      <c r="S371" s="89">
        <f>0.78*D371/40</f>
        <v>0.78</v>
      </c>
      <c r="T371" s="38"/>
      <c r="U371" s="39"/>
      <c r="V371" s="39"/>
      <c r="W371" s="39"/>
    </row>
    <row r="372" spans="1:23" s="6" customFormat="1" ht="11.25" customHeight="1">
      <c r="A372" s="99" t="s">
        <v>87</v>
      </c>
      <c r="B372" s="231" t="s">
        <v>60</v>
      </c>
      <c r="C372" s="232"/>
      <c r="D372" s="91">
        <v>40</v>
      </c>
      <c r="E372" s="93">
        <f>1.52*D372/30</f>
        <v>2.0266666666666664</v>
      </c>
      <c r="F372" s="94">
        <f>0.16*D372/30</f>
        <v>0.21333333333333335</v>
      </c>
      <c r="G372" s="94">
        <f>9.84*D372/30</f>
        <v>13.120000000000001</v>
      </c>
      <c r="H372" s="94">
        <f t="shared" si="97"/>
        <v>62.50666666666667</v>
      </c>
      <c r="I372" s="94">
        <f>0.02*D372/30</f>
        <v>0.02666666666666667</v>
      </c>
      <c r="J372" s="94">
        <f>0.01*D372/30</f>
        <v>0.013333333333333334</v>
      </c>
      <c r="K372" s="94">
        <f>0.44*D372/30</f>
        <v>0.5866666666666667</v>
      </c>
      <c r="L372" s="94">
        <v>0</v>
      </c>
      <c r="M372" s="94">
        <f>0.7*D372/30</f>
        <v>0.9333333333333333</v>
      </c>
      <c r="N372" s="94">
        <f>4*D372/30</f>
        <v>5.333333333333333</v>
      </c>
      <c r="O372" s="94">
        <f>13*D372/30</f>
        <v>17.333333333333332</v>
      </c>
      <c r="P372" s="94">
        <f>0.008*D372/30</f>
        <v>0.010666666666666666</v>
      </c>
      <c r="Q372" s="94">
        <f>0.001*D372/30</f>
        <v>0.0013333333333333333</v>
      </c>
      <c r="R372" s="94">
        <v>0</v>
      </c>
      <c r="S372" s="94">
        <f>0.22*D372/30</f>
        <v>0.29333333333333333</v>
      </c>
      <c r="T372" s="21"/>
      <c r="U372" s="32"/>
      <c r="V372" s="32"/>
      <c r="W372" s="32"/>
    </row>
    <row r="373" spans="1:23" s="6" customFormat="1" ht="11.25" customHeight="1">
      <c r="A373" s="155" t="s">
        <v>28</v>
      </c>
      <c r="B373" s="84"/>
      <c r="C373" s="84"/>
      <c r="D373" s="171">
        <f>SUM(D366:D372)</f>
        <v>910</v>
      </c>
      <c r="E373" s="50">
        <f>SUM(E366:E372)</f>
        <v>41.66566666666667</v>
      </c>
      <c r="F373" s="49">
        <f>SUM(F366:F372)</f>
        <v>26.179666666666666</v>
      </c>
      <c r="G373" s="49">
        <f>SUM(G366:G372)</f>
        <v>130.11066666666667</v>
      </c>
      <c r="H373" s="49">
        <f>SUM(H366:H372)</f>
        <v>922.7223333333334</v>
      </c>
      <c r="I373" s="49">
        <f aca="true" t="shared" si="98" ref="I373:S373">SUM(I366:I372)</f>
        <v>0.6386666666666665</v>
      </c>
      <c r="J373" s="50">
        <f t="shared" si="98"/>
        <v>0.31849999999999995</v>
      </c>
      <c r="K373" s="49">
        <f t="shared" si="98"/>
        <v>34.54333333333333</v>
      </c>
      <c r="L373" s="49">
        <f t="shared" si="98"/>
        <v>0.06366666666666666</v>
      </c>
      <c r="M373" s="50">
        <f t="shared" si="98"/>
        <v>7.527333333333333</v>
      </c>
      <c r="N373" s="49">
        <f t="shared" si="98"/>
        <v>165.41983333333334</v>
      </c>
      <c r="O373" s="49">
        <f t="shared" si="98"/>
        <v>528.0951666666666</v>
      </c>
      <c r="P373" s="49">
        <f t="shared" si="98"/>
        <v>3.975546666666667</v>
      </c>
      <c r="Q373" s="51">
        <f t="shared" si="98"/>
        <v>0.04728666666666667</v>
      </c>
      <c r="R373" s="49">
        <f t="shared" si="98"/>
        <v>217.25500000000002</v>
      </c>
      <c r="S373" s="50">
        <f t="shared" si="98"/>
        <v>7.561666666666666</v>
      </c>
      <c r="T373" s="49"/>
      <c r="U373" s="52"/>
      <c r="V373" s="52"/>
      <c r="W373" s="52"/>
    </row>
    <row r="374" spans="1:23" s="6" customFormat="1" ht="11.25" customHeight="1">
      <c r="A374" s="249" t="s">
        <v>73</v>
      </c>
      <c r="B374" s="250"/>
      <c r="C374" s="250"/>
      <c r="D374" s="251"/>
      <c r="E374" s="98">
        <f>E373/E383</f>
        <v>0.46295185185185184</v>
      </c>
      <c r="F374" s="55">
        <f aca="true" t="shared" si="99" ref="F374:S374">F373/F383</f>
        <v>0.28456159420289856</v>
      </c>
      <c r="G374" s="55">
        <f t="shared" si="99"/>
        <v>0.33971453437771976</v>
      </c>
      <c r="H374" s="55">
        <f t="shared" si="99"/>
        <v>0.3392361519607843</v>
      </c>
      <c r="I374" s="55">
        <f t="shared" si="99"/>
        <v>0.4561904761904761</v>
      </c>
      <c r="J374" s="55">
        <f t="shared" si="99"/>
        <v>0.19906249999999995</v>
      </c>
      <c r="K374" s="55">
        <f t="shared" si="99"/>
        <v>0.4934761904761904</v>
      </c>
      <c r="L374" s="55">
        <f t="shared" si="99"/>
        <v>0.07074074074074073</v>
      </c>
      <c r="M374" s="55">
        <f t="shared" si="99"/>
        <v>0.6272777777777777</v>
      </c>
      <c r="N374" s="55">
        <f t="shared" si="99"/>
        <v>0.1378498611111111</v>
      </c>
      <c r="O374" s="55">
        <f t="shared" si="99"/>
        <v>0.4400793055555555</v>
      </c>
      <c r="P374" s="55">
        <f t="shared" si="99"/>
        <v>0.2839676190476191</v>
      </c>
      <c r="Q374" s="55">
        <f t="shared" si="99"/>
        <v>0.4728666666666667</v>
      </c>
      <c r="R374" s="55">
        <f t="shared" si="99"/>
        <v>0.7241833333333334</v>
      </c>
      <c r="S374" s="55">
        <f t="shared" si="99"/>
        <v>0.4200925925925925</v>
      </c>
      <c r="T374" s="61"/>
      <c r="U374" s="52"/>
      <c r="V374" s="52"/>
      <c r="W374" s="52"/>
    </row>
    <row r="375" spans="1:23" s="92" customFormat="1" ht="11.25" customHeight="1">
      <c r="A375" s="154" t="s">
        <v>106</v>
      </c>
      <c r="B375" s="145"/>
      <c r="C375" s="145"/>
      <c r="D375" s="162"/>
      <c r="E375" s="50">
        <f>E365+E367+E368+E369+E370+E371+E372</f>
        <v>42.739</v>
      </c>
      <c r="F375" s="50">
        <f aca="true" t="shared" si="100" ref="F375:S375">F365+F367+F368+F369+F370+F371+F372</f>
        <v>26.356333333333335</v>
      </c>
      <c r="G375" s="50">
        <f t="shared" si="100"/>
        <v>131.879</v>
      </c>
      <c r="H375" s="50">
        <f t="shared" si="100"/>
        <v>935.6790000000001</v>
      </c>
      <c r="I375" s="50">
        <f t="shared" si="100"/>
        <v>0.5686666666666667</v>
      </c>
      <c r="J375" s="50">
        <f t="shared" si="100"/>
        <v>0.30849999999999994</v>
      </c>
      <c r="K375" s="50">
        <f t="shared" si="100"/>
        <v>60.376666666666665</v>
      </c>
      <c r="L375" s="50">
        <f t="shared" si="100"/>
        <v>0.06533333333333333</v>
      </c>
      <c r="M375" s="50">
        <f t="shared" si="100"/>
        <v>6.598999999999999</v>
      </c>
      <c r="N375" s="50">
        <f t="shared" si="100"/>
        <v>161.90983333333335</v>
      </c>
      <c r="O375" s="50">
        <f t="shared" si="100"/>
        <v>505.98683333333327</v>
      </c>
      <c r="P375" s="50">
        <f t="shared" si="100"/>
        <v>3.84888</v>
      </c>
      <c r="Q375" s="50">
        <f t="shared" si="100"/>
        <v>0.06728666666666668</v>
      </c>
      <c r="R375" s="50">
        <f t="shared" si="100"/>
        <v>201.25500000000002</v>
      </c>
      <c r="S375" s="50">
        <f t="shared" si="100"/>
        <v>7.34</v>
      </c>
      <c r="T375" s="61"/>
      <c r="U375" s="52"/>
      <c r="V375" s="52"/>
      <c r="W375" s="52"/>
    </row>
    <row r="376" spans="1:23" s="6" customFormat="1" ht="11.25" customHeight="1">
      <c r="A376" s="237" t="s">
        <v>29</v>
      </c>
      <c r="B376" s="238"/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9"/>
      <c r="T376" s="16"/>
      <c r="U376" s="30"/>
      <c r="V376" s="30"/>
      <c r="W376" s="30"/>
    </row>
    <row r="377" spans="1:23" s="6" customFormat="1" ht="20.25" customHeight="1">
      <c r="A377" s="99">
        <v>341</v>
      </c>
      <c r="B377" s="231" t="s">
        <v>132</v>
      </c>
      <c r="C377" s="232"/>
      <c r="D377" s="91">
        <v>150</v>
      </c>
      <c r="E377" s="93">
        <f>0.39*D377/60</f>
        <v>0.975</v>
      </c>
      <c r="F377" s="93">
        <f>0.18*D377/60</f>
        <v>0.45</v>
      </c>
      <c r="G377" s="93">
        <f>5.37*D377/60</f>
        <v>13.425</v>
      </c>
      <c r="H377" s="93">
        <f>E377*4+F377*9+G377*4</f>
        <v>61.650000000000006</v>
      </c>
      <c r="I377" s="94">
        <f>0.02*D377/60</f>
        <v>0.05</v>
      </c>
      <c r="J377" s="93">
        <f>0.02*D377/60</f>
        <v>0.05</v>
      </c>
      <c r="K377" s="93">
        <f>22.95*D377/60</f>
        <v>57.375</v>
      </c>
      <c r="L377" s="94">
        <f>0.02*D377/60</f>
        <v>0.05</v>
      </c>
      <c r="M377" s="89">
        <f>0.6*D377/60</f>
        <v>1.5</v>
      </c>
      <c r="N377" s="90">
        <f>15*D377/60</f>
        <v>37.5</v>
      </c>
      <c r="O377" s="93">
        <f>10.2*D377/60</f>
        <v>25.5</v>
      </c>
      <c r="P377" s="93">
        <f>0.13*D377/60</f>
        <v>0.325</v>
      </c>
      <c r="Q377" s="94">
        <f>0.001*D377/60</f>
        <v>0.0025</v>
      </c>
      <c r="R377" s="93">
        <f>6.6*D377/60</f>
        <v>16.5</v>
      </c>
      <c r="S377" s="93">
        <f>0.75*D377/60</f>
        <v>1.875</v>
      </c>
      <c r="T377" s="21"/>
      <c r="U377" s="32"/>
      <c r="V377" s="32"/>
      <c r="W377" s="32"/>
    </row>
    <row r="378" spans="1:23" s="6" customFormat="1" ht="21.75" customHeight="1">
      <c r="A378" s="117">
        <v>349</v>
      </c>
      <c r="B378" s="224" t="s">
        <v>51</v>
      </c>
      <c r="C378" s="225"/>
      <c r="D378" s="91">
        <v>200</v>
      </c>
      <c r="E378" s="93">
        <v>0.22</v>
      </c>
      <c r="F378" s="89"/>
      <c r="G378" s="93">
        <v>24.42</v>
      </c>
      <c r="H378" s="93">
        <f>E378*4+F378*9+G378*4</f>
        <v>98.56</v>
      </c>
      <c r="I378" s="89"/>
      <c r="J378" s="89"/>
      <c r="K378" s="93">
        <v>26.11</v>
      </c>
      <c r="L378" s="89"/>
      <c r="M378" s="89"/>
      <c r="N378" s="90">
        <v>22.6</v>
      </c>
      <c r="O378" s="90">
        <v>7.7</v>
      </c>
      <c r="P378" s="91">
        <v>0</v>
      </c>
      <c r="Q378" s="91">
        <v>0</v>
      </c>
      <c r="R378" s="90">
        <v>3</v>
      </c>
      <c r="S378" s="93">
        <v>0.66</v>
      </c>
      <c r="T378" s="21"/>
      <c r="U378" s="32"/>
      <c r="V378" s="32"/>
      <c r="W378" s="32"/>
    </row>
    <row r="379" spans="1:23" s="92" customFormat="1" ht="21.75" customHeight="1">
      <c r="A379" s="99" t="s">
        <v>170</v>
      </c>
      <c r="B379" s="231" t="s">
        <v>171</v>
      </c>
      <c r="C379" s="232"/>
      <c r="D379" s="91">
        <v>50</v>
      </c>
      <c r="E379" s="93">
        <v>3.8</v>
      </c>
      <c r="F379" s="89">
        <v>0.5</v>
      </c>
      <c r="G379" s="93">
        <v>24.7</v>
      </c>
      <c r="H379" s="93">
        <f>E379*4+F379*9+G379*4</f>
        <v>118.5</v>
      </c>
      <c r="I379" s="89">
        <v>0.02</v>
      </c>
      <c r="J379" s="89">
        <v>0.02</v>
      </c>
      <c r="K379" s="90">
        <v>4.8</v>
      </c>
      <c r="L379" s="89">
        <v>0</v>
      </c>
      <c r="M379" s="89">
        <v>0</v>
      </c>
      <c r="N379" s="90">
        <v>14</v>
      </c>
      <c r="O379" s="90">
        <v>18</v>
      </c>
      <c r="P379" s="90">
        <v>0.03</v>
      </c>
      <c r="Q379" s="90">
        <v>0</v>
      </c>
      <c r="R379" s="90">
        <v>8</v>
      </c>
      <c r="S379" s="93">
        <v>0.72</v>
      </c>
      <c r="T379" s="95"/>
      <c r="U379" s="96"/>
      <c r="V379" s="96"/>
      <c r="W379" s="96"/>
    </row>
    <row r="380" spans="1:23" s="1" customFormat="1" ht="11.25" customHeight="1">
      <c r="A380" s="155" t="s">
        <v>30</v>
      </c>
      <c r="B380" s="84"/>
      <c r="C380" s="84"/>
      <c r="D380" s="171">
        <f>SUM(D377:D379)</f>
        <v>400</v>
      </c>
      <c r="E380" s="182">
        <f aca="true" t="shared" si="101" ref="E380:S380">SUM(E377:E379)</f>
        <v>4.995</v>
      </c>
      <c r="F380" s="182">
        <f t="shared" si="101"/>
        <v>0.95</v>
      </c>
      <c r="G380" s="182">
        <f t="shared" si="101"/>
        <v>62.545</v>
      </c>
      <c r="H380" s="182">
        <f t="shared" si="101"/>
        <v>278.71000000000004</v>
      </c>
      <c r="I380" s="182">
        <f t="shared" si="101"/>
        <v>0.07</v>
      </c>
      <c r="J380" s="182">
        <f t="shared" si="101"/>
        <v>0.07</v>
      </c>
      <c r="K380" s="182">
        <f t="shared" si="101"/>
        <v>88.285</v>
      </c>
      <c r="L380" s="182">
        <f t="shared" si="101"/>
        <v>0.05</v>
      </c>
      <c r="M380" s="182">
        <f t="shared" si="101"/>
        <v>1.5</v>
      </c>
      <c r="N380" s="182">
        <f t="shared" si="101"/>
        <v>74.1</v>
      </c>
      <c r="O380" s="182">
        <f t="shared" si="101"/>
        <v>51.2</v>
      </c>
      <c r="P380" s="182">
        <f t="shared" si="101"/>
        <v>0.355</v>
      </c>
      <c r="Q380" s="182">
        <f t="shared" si="101"/>
        <v>0.0025</v>
      </c>
      <c r="R380" s="182">
        <f t="shared" si="101"/>
        <v>27.5</v>
      </c>
      <c r="S380" s="182">
        <f t="shared" si="101"/>
        <v>3.255</v>
      </c>
      <c r="T380" s="49"/>
      <c r="U380" s="52"/>
      <c r="V380" s="52"/>
      <c r="W380" s="52"/>
    </row>
    <row r="381" spans="1:23" s="1" customFormat="1" ht="11.25" customHeight="1">
      <c r="A381" s="249" t="s">
        <v>73</v>
      </c>
      <c r="B381" s="250"/>
      <c r="C381" s="250"/>
      <c r="D381" s="251"/>
      <c r="E381" s="98">
        <f>E380/E383</f>
        <v>0.0555</v>
      </c>
      <c r="F381" s="55">
        <f aca="true" t="shared" si="102" ref="F381:S381">F380/F383</f>
        <v>0.010326086956521738</v>
      </c>
      <c r="G381" s="55">
        <f t="shared" si="102"/>
        <v>0.1633028720626632</v>
      </c>
      <c r="H381" s="55">
        <f t="shared" si="102"/>
        <v>0.10246691176470589</v>
      </c>
      <c r="I381" s="55">
        <f t="shared" si="102"/>
        <v>0.05000000000000001</v>
      </c>
      <c r="J381" s="55">
        <f t="shared" si="102"/>
        <v>0.043750000000000004</v>
      </c>
      <c r="K381" s="55">
        <f t="shared" si="102"/>
        <v>1.2612142857142856</v>
      </c>
      <c r="L381" s="55">
        <f t="shared" si="102"/>
        <v>0.05555555555555556</v>
      </c>
      <c r="M381" s="55">
        <f t="shared" si="102"/>
        <v>0.125</v>
      </c>
      <c r="N381" s="55">
        <f t="shared" si="102"/>
        <v>0.06174999999999999</v>
      </c>
      <c r="O381" s="55">
        <f t="shared" si="102"/>
        <v>0.04266666666666667</v>
      </c>
      <c r="P381" s="55">
        <f t="shared" si="102"/>
        <v>0.025357142857142856</v>
      </c>
      <c r="Q381" s="55">
        <f t="shared" si="102"/>
        <v>0.024999999999999998</v>
      </c>
      <c r="R381" s="55">
        <f t="shared" si="102"/>
        <v>0.09166666666666666</v>
      </c>
      <c r="S381" s="55">
        <f t="shared" si="102"/>
        <v>0.18083333333333332</v>
      </c>
      <c r="T381" s="61"/>
      <c r="U381" s="52"/>
      <c r="V381" s="52"/>
      <c r="W381" s="52"/>
    </row>
    <row r="382" spans="1:23" s="1" customFormat="1" ht="11.25" customHeight="1">
      <c r="A382" s="246" t="s">
        <v>72</v>
      </c>
      <c r="B382" s="247"/>
      <c r="C382" s="247"/>
      <c r="D382" s="248"/>
      <c r="E382" s="50">
        <f aca="true" t="shared" si="103" ref="E382:S382">SUM(E362,E373,E380)</f>
        <v>82.34983333333334</v>
      </c>
      <c r="F382" s="49">
        <f t="shared" si="103"/>
        <v>60.39049999999999</v>
      </c>
      <c r="G382" s="49">
        <f t="shared" si="103"/>
        <v>252.90066666666667</v>
      </c>
      <c r="H382" s="49">
        <f t="shared" si="103"/>
        <v>1884.5165000000002</v>
      </c>
      <c r="I382" s="50">
        <f t="shared" si="103"/>
        <v>1.1715833333333332</v>
      </c>
      <c r="J382" s="50">
        <f t="shared" si="103"/>
        <v>0.9043333333333334</v>
      </c>
      <c r="K382" s="49">
        <f t="shared" si="103"/>
        <v>142.995</v>
      </c>
      <c r="L382" s="50">
        <f t="shared" si="103"/>
        <v>0.23926666666666663</v>
      </c>
      <c r="M382" s="50">
        <f t="shared" si="103"/>
        <v>15.485666666666667</v>
      </c>
      <c r="N382" s="49">
        <f t="shared" si="103"/>
        <v>684.8281666666667</v>
      </c>
      <c r="O382" s="49">
        <f t="shared" si="103"/>
        <v>1150.1935</v>
      </c>
      <c r="P382" s="50">
        <f t="shared" si="103"/>
        <v>8.026713333333333</v>
      </c>
      <c r="Q382" s="51">
        <f t="shared" si="103"/>
        <v>0.14215</v>
      </c>
      <c r="R382" s="50">
        <f t="shared" si="103"/>
        <v>325.9425</v>
      </c>
      <c r="S382" s="50">
        <f t="shared" si="103"/>
        <v>16.3985</v>
      </c>
      <c r="T382" s="53"/>
      <c r="U382" s="52"/>
      <c r="V382" s="52"/>
      <c r="W382" s="52"/>
    </row>
    <row r="383" spans="1:23" s="1" customFormat="1" ht="11.25" customHeight="1">
      <c r="A383" s="246" t="s">
        <v>74</v>
      </c>
      <c r="B383" s="247"/>
      <c r="C383" s="247"/>
      <c r="D383" s="248"/>
      <c r="E383" s="93">
        <v>90</v>
      </c>
      <c r="F383" s="90">
        <v>92</v>
      </c>
      <c r="G383" s="90">
        <v>383</v>
      </c>
      <c r="H383" s="90">
        <v>2720</v>
      </c>
      <c r="I383" s="93">
        <v>1.4</v>
      </c>
      <c r="J383" s="93">
        <v>1.6</v>
      </c>
      <c r="K383" s="91">
        <v>70</v>
      </c>
      <c r="L383" s="93">
        <v>0.9</v>
      </c>
      <c r="M383" s="91">
        <v>12</v>
      </c>
      <c r="N383" s="91">
        <v>1200</v>
      </c>
      <c r="O383" s="91">
        <v>1200</v>
      </c>
      <c r="P383" s="91">
        <v>14</v>
      </c>
      <c r="Q383" s="90">
        <v>0.1</v>
      </c>
      <c r="R383" s="91">
        <v>300</v>
      </c>
      <c r="S383" s="93">
        <v>18</v>
      </c>
      <c r="T383" s="21"/>
      <c r="U383" s="32"/>
      <c r="V383" s="32"/>
      <c r="W383" s="32"/>
    </row>
    <row r="384" spans="1:23" s="1" customFormat="1" ht="11.25" customHeight="1">
      <c r="A384" s="228" t="s">
        <v>73</v>
      </c>
      <c r="B384" s="229"/>
      <c r="C384" s="229"/>
      <c r="D384" s="230"/>
      <c r="E384" s="98">
        <f aca="true" t="shared" si="104" ref="E384:S384">E382/E383</f>
        <v>0.9149981481481482</v>
      </c>
      <c r="F384" s="55">
        <f t="shared" si="104"/>
        <v>0.6564184782608694</v>
      </c>
      <c r="G384" s="55">
        <f t="shared" si="104"/>
        <v>0.6603150565709313</v>
      </c>
      <c r="H384" s="55">
        <f t="shared" si="104"/>
        <v>0.6928369485294118</v>
      </c>
      <c r="I384" s="55">
        <f t="shared" si="104"/>
        <v>0.836845238095238</v>
      </c>
      <c r="J384" s="55">
        <f t="shared" si="104"/>
        <v>0.5652083333333333</v>
      </c>
      <c r="K384" s="55">
        <f t="shared" si="104"/>
        <v>2.0427857142857144</v>
      </c>
      <c r="L384" s="57">
        <f t="shared" si="104"/>
        <v>0.2658518518518518</v>
      </c>
      <c r="M384" s="55">
        <f t="shared" si="104"/>
        <v>1.2904722222222222</v>
      </c>
      <c r="N384" s="55">
        <f t="shared" si="104"/>
        <v>0.5706901388888889</v>
      </c>
      <c r="O384" s="55">
        <f t="shared" si="104"/>
        <v>0.9584945833333334</v>
      </c>
      <c r="P384" s="55">
        <f t="shared" si="104"/>
        <v>0.5733366666666667</v>
      </c>
      <c r="Q384" s="57">
        <f t="shared" si="104"/>
        <v>1.4215</v>
      </c>
      <c r="R384" s="55">
        <f t="shared" si="104"/>
        <v>1.086475</v>
      </c>
      <c r="S384" s="57">
        <f t="shared" si="104"/>
        <v>0.9110277777777777</v>
      </c>
      <c r="T384" s="58"/>
      <c r="U384" s="59"/>
      <c r="V384" s="59"/>
      <c r="W384" s="59"/>
    </row>
    <row r="385" spans="1:23" s="1" customFormat="1" ht="11.25" customHeight="1">
      <c r="A385" s="152" t="s">
        <v>124</v>
      </c>
      <c r="B385" s="70"/>
      <c r="C385" s="111"/>
      <c r="D385" s="111"/>
      <c r="E385" s="121"/>
      <c r="F385" s="92"/>
      <c r="G385" s="2"/>
      <c r="H385" s="2"/>
      <c r="I385" s="92"/>
      <c r="J385" s="6"/>
      <c r="K385" s="6"/>
      <c r="L385" s="244"/>
      <c r="M385" s="244"/>
      <c r="N385" s="244"/>
      <c r="O385" s="244"/>
      <c r="P385" s="244"/>
      <c r="Q385" s="244"/>
      <c r="R385" s="244"/>
      <c r="S385" s="244"/>
      <c r="T385" s="17"/>
      <c r="U385" s="25"/>
      <c r="V385" s="25"/>
      <c r="W385" s="25"/>
    </row>
    <row r="386" spans="1:23" s="1" customFormat="1" ht="11.25" customHeight="1">
      <c r="A386" s="152"/>
      <c r="B386" s="134" t="s">
        <v>159</v>
      </c>
      <c r="C386" s="134"/>
      <c r="D386" s="135"/>
      <c r="E386" s="135"/>
      <c r="F386" s="136"/>
      <c r="G386" s="137"/>
      <c r="H386" s="138"/>
      <c r="I386" s="92"/>
      <c r="J386" s="92"/>
      <c r="K386" s="92"/>
      <c r="L386" s="110"/>
      <c r="M386" s="110"/>
      <c r="N386" s="110"/>
      <c r="O386" s="110"/>
      <c r="P386" s="110"/>
      <c r="Q386" s="110"/>
      <c r="R386" s="110"/>
      <c r="S386" s="110"/>
      <c r="T386" s="17"/>
      <c r="U386" s="25"/>
      <c r="V386" s="25"/>
      <c r="W386" s="25"/>
    </row>
    <row r="387" spans="1:23" ht="11.25" customHeight="1">
      <c r="A387" s="152"/>
      <c r="B387" s="70"/>
      <c r="C387" s="70"/>
      <c r="D387" s="6"/>
      <c r="E387" s="4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19"/>
      <c r="U387" s="26"/>
      <c r="V387" s="26"/>
      <c r="W387" s="26"/>
    </row>
    <row r="388" spans="1:23" ht="29.25" customHeight="1">
      <c r="A388" s="221" t="s">
        <v>94</v>
      </c>
      <c r="B388" s="221"/>
      <c r="C388" s="221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19"/>
      <c r="U388" s="26"/>
      <c r="V388" s="26"/>
      <c r="W388" s="26"/>
    </row>
    <row r="389" spans="1:23" ht="29.25" customHeight="1">
      <c r="A389" s="159"/>
      <c r="B389" s="71"/>
      <c r="C389" s="71"/>
      <c r="D389" s="7"/>
      <c r="E389" s="122"/>
      <c r="F389" s="7"/>
      <c r="G389" s="1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23"/>
      <c r="U389" s="26"/>
      <c r="V389" s="26"/>
      <c r="W389" s="26"/>
    </row>
    <row r="390" spans="1:23" s="114" customFormat="1" ht="13.5" customHeight="1">
      <c r="A390" s="160"/>
      <c r="B390" s="115"/>
      <c r="C390" s="115"/>
      <c r="D390" s="115"/>
      <c r="E390" s="123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6"/>
      <c r="V390" s="113"/>
      <c r="W390" s="113"/>
    </row>
  </sheetData>
  <sheetProtection/>
  <mergeCells count="428">
    <mergeCell ref="M1:N1"/>
    <mergeCell ref="L348:S348"/>
    <mergeCell ref="L311:S311"/>
    <mergeCell ref="L274:S274"/>
    <mergeCell ref="L236:S236"/>
    <mergeCell ref="L197:S197"/>
    <mergeCell ref="B246:C246"/>
    <mergeCell ref="B209:C209"/>
    <mergeCell ref="B323:C323"/>
    <mergeCell ref="B255:C255"/>
    <mergeCell ref="B229:C229"/>
    <mergeCell ref="B359:C359"/>
    <mergeCell ref="B115:C115"/>
    <mergeCell ref="B40:C40"/>
    <mergeCell ref="B77:C77"/>
    <mergeCell ref="B150:C150"/>
    <mergeCell ref="B172:C172"/>
    <mergeCell ref="B227:C227"/>
    <mergeCell ref="B265:C265"/>
    <mergeCell ref="B180:C180"/>
    <mergeCell ref="B206:C206"/>
    <mergeCell ref="B218:C218"/>
    <mergeCell ref="B242:C242"/>
    <mergeCell ref="A254:S254"/>
    <mergeCell ref="A204:S204"/>
    <mergeCell ref="B30:C30"/>
    <mergeCell ref="A240:A241"/>
    <mergeCell ref="B240:C241"/>
    <mergeCell ref="D240:D241"/>
    <mergeCell ref="E240:G240"/>
    <mergeCell ref="M125:P125"/>
    <mergeCell ref="M162:P162"/>
    <mergeCell ref="B22:C22"/>
    <mergeCell ref="B31:C31"/>
    <mergeCell ref="B132:C132"/>
    <mergeCell ref="A44:D44"/>
    <mergeCell ref="A127:A128"/>
    <mergeCell ref="A75:D75"/>
    <mergeCell ref="K276:L276"/>
    <mergeCell ref="N240:S240"/>
    <mergeCell ref="B352:C353"/>
    <mergeCell ref="L273:S273"/>
    <mergeCell ref="E278:G278"/>
    <mergeCell ref="D352:D353"/>
    <mergeCell ref="K351:L351"/>
    <mergeCell ref="M351:S351"/>
    <mergeCell ref="K350:L350"/>
    <mergeCell ref="N352:S352"/>
    <mergeCell ref="W20:W22"/>
    <mergeCell ref="U20:U22"/>
    <mergeCell ref="V20:V22"/>
    <mergeCell ref="U228:U230"/>
    <mergeCell ref="V228:V230"/>
    <mergeCell ref="W228:W230"/>
    <mergeCell ref="S87:Z87"/>
    <mergeCell ref="L160:S160"/>
    <mergeCell ref="N201:S201"/>
    <mergeCell ref="K163:L163"/>
    <mergeCell ref="A289:S289"/>
    <mergeCell ref="A349:S349"/>
    <mergeCell ref="F350:H350"/>
    <mergeCell ref="E352:G352"/>
    <mergeCell ref="B260:C260"/>
    <mergeCell ref="K277:L277"/>
    <mergeCell ref="M277:S277"/>
    <mergeCell ref="B280:C280"/>
    <mergeCell ref="A281:S281"/>
    <mergeCell ref="A343:D343"/>
    <mergeCell ref="A352:A353"/>
    <mergeCell ref="B330:C330"/>
    <mergeCell ref="L347:S347"/>
    <mergeCell ref="L385:S385"/>
    <mergeCell ref="B371:C371"/>
    <mergeCell ref="F313:H313"/>
    <mergeCell ref="K313:L313"/>
    <mergeCell ref="B356:C356"/>
    <mergeCell ref="I352:M352"/>
    <mergeCell ref="M313:P313"/>
    <mergeCell ref="B378:C378"/>
    <mergeCell ref="A374:D374"/>
    <mergeCell ref="A381:D381"/>
    <mergeCell ref="B370:C370"/>
    <mergeCell ref="B368:C368"/>
    <mergeCell ref="B369:C369"/>
    <mergeCell ref="B372:C372"/>
    <mergeCell ref="A376:S376"/>
    <mergeCell ref="B377:C377"/>
    <mergeCell ref="B379:C379"/>
    <mergeCell ref="A355:S355"/>
    <mergeCell ref="B367:C367"/>
    <mergeCell ref="H352:H353"/>
    <mergeCell ref="B360:C360"/>
    <mergeCell ref="A364:S364"/>
    <mergeCell ref="B361:C361"/>
    <mergeCell ref="B354:C354"/>
    <mergeCell ref="B357:C357"/>
    <mergeCell ref="B358:C358"/>
    <mergeCell ref="B366:C366"/>
    <mergeCell ref="A344:D344"/>
    <mergeCell ref="B336:C336"/>
    <mergeCell ref="A339:S339"/>
    <mergeCell ref="B340:C340"/>
    <mergeCell ref="A345:D345"/>
    <mergeCell ref="A338:D338"/>
    <mergeCell ref="B341:C341"/>
    <mergeCell ref="A329:S329"/>
    <mergeCell ref="B334:C334"/>
    <mergeCell ref="B335:C335"/>
    <mergeCell ref="B332:C332"/>
    <mergeCell ref="B333:C333"/>
    <mergeCell ref="B331:C331"/>
    <mergeCell ref="B283:C283"/>
    <mergeCell ref="M350:P350"/>
    <mergeCell ref="B96:C96"/>
    <mergeCell ref="B97:C97"/>
    <mergeCell ref="B99:C99"/>
    <mergeCell ref="H315:H316"/>
    <mergeCell ref="B292:C292"/>
    <mergeCell ref="E315:G315"/>
    <mergeCell ref="B296:C296"/>
    <mergeCell ref="A300:S300"/>
    <mergeCell ref="A270:D270"/>
    <mergeCell ref="A271:D271"/>
    <mergeCell ref="H278:H279"/>
    <mergeCell ref="I278:M278"/>
    <mergeCell ref="B284:C284"/>
    <mergeCell ref="A278:A279"/>
    <mergeCell ref="B278:C279"/>
    <mergeCell ref="M276:P276"/>
    <mergeCell ref="N278:S278"/>
    <mergeCell ref="B282:C282"/>
    <mergeCell ref="B261:C261"/>
    <mergeCell ref="A363:D363"/>
    <mergeCell ref="D278:D279"/>
    <mergeCell ref="D314:E314"/>
    <mergeCell ref="B293:C293"/>
    <mergeCell ref="A275:S275"/>
    <mergeCell ref="A288:D288"/>
    <mergeCell ref="B267:C267"/>
    <mergeCell ref="F276:H276"/>
    <mergeCell ref="A272:D272"/>
    <mergeCell ref="A264:S264"/>
    <mergeCell ref="D277:E277"/>
    <mergeCell ref="A243:S243"/>
    <mergeCell ref="B247:C247"/>
    <mergeCell ref="B248:C248"/>
    <mergeCell ref="B245:C245"/>
    <mergeCell ref="B259:C259"/>
    <mergeCell ref="B266:C266"/>
    <mergeCell ref="B249:C249"/>
    <mergeCell ref="B250:C250"/>
    <mergeCell ref="H240:H241"/>
    <mergeCell ref="I240:M240"/>
    <mergeCell ref="M239:S239"/>
    <mergeCell ref="A237:S237"/>
    <mergeCell ref="B216:C216"/>
    <mergeCell ref="B217:C217"/>
    <mergeCell ref="F238:H238"/>
    <mergeCell ref="K238:L238"/>
    <mergeCell ref="D239:E239"/>
    <mergeCell ref="K239:L239"/>
    <mergeCell ref="M238:P238"/>
    <mergeCell ref="L235:S235"/>
    <mergeCell ref="A214:S214"/>
    <mergeCell ref="B219:C219"/>
    <mergeCell ref="B220:C220"/>
    <mergeCell ref="B222:C222"/>
    <mergeCell ref="B221:C221"/>
    <mergeCell ref="A234:D234"/>
    <mergeCell ref="A226:S226"/>
    <mergeCell ref="A232:D232"/>
    <mergeCell ref="A233:D233"/>
    <mergeCell ref="B208:C208"/>
    <mergeCell ref="K200:L200"/>
    <mergeCell ref="M200:S200"/>
    <mergeCell ref="A201:A202"/>
    <mergeCell ref="B201:C202"/>
    <mergeCell ref="D201:D202"/>
    <mergeCell ref="D200:E200"/>
    <mergeCell ref="E201:G201"/>
    <mergeCell ref="H201:H202"/>
    <mergeCell ref="A193:D193"/>
    <mergeCell ref="A194:D194"/>
    <mergeCell ref="A195:D195"/>
    <mergeCell ref="A192:D192"/>
    <mergeCell ref="A198:S198"/>
    <mergeCell ref="I201:M201"/>
    <mergeCell ref="M199:P199"/>
    <mergeCell ref="F199:H199"/>
    <mergeCell ref="K199:L199"/>
    <mergeCell ref="B181:C181"/>
    <mergeCell ref="B182:C182"/>
    <mergeCell ref="B183:C183"/>
    <mergeCell ref="B185:C185"/>
    <mergeCell ref="A269:D269"/>
    <mergeCell ref="A188:S188"/>
    <mergeCell ref="B189:C189"/>
    <mergeCell ref="B184:C184"/>
    <mergeCell ref="B190:C190"/>
    <mergeCell ref="L196:S196"/>
    <mergeCell ref="B174:C174"/>
    <mergeCell ref="A178:S178"/>
    <mergeCell ref="B179:C179"/>
    <mergeCell ref="A167:S167"/>
    <mergeCell ref="B170:C170"/>
    <mergeCell ref="B171:C171"/>
    <mergeCell ref="B169:C169"/>
    <mergeCell ref="H164:H165"/>
    <mergeCell ref="E164:G164"/>
    <mergeCell ref="B173:C173"/>
    <mergeCell ref="B133:C133"/>
    <mergeCell ref="B143:C143"/>
    <mergeCell ref="B152:C152"/>
    <mergeCell ref="A155:D155"/>
    <mergeCell ref="A137:D137"/>
    <mergeCell ref="B127:C128"/>
    <mergeCell ref="D127:D128"/>
    <mergeCell ref="E127:G127"/>
    <mergeCell ref="I127:M127"/>
    <mergeCell ref="D126:E126"/>
    <mergeCell ref="K126:L126"/>
    <mergeCell ref="M126:S126"/>
    <mergeCell ref="B129:C129"/>
    <mergeCell ref="A130:S130"/>
    <mergeCell ref="H127:H128"/>
    <mergeCell ref="N127:S127"/>
    <mergeCell ref="B109:C109"/>
    <mergeCell ref="A118:D118"/>
    <mergeCell ref="B114:C114"/>
    <mergeCell ref="A124:S124"/>
    <mergeCell ref="F125:H125"/>
    <mergeCell ref="K125:L125"/>
    <mergeCell ref="B105:C105"/>
    <mergeCell ref="B106:C106"/>
    <mergeCell ref="B107:C107"/>
    <mergeCell ref="B108:C108"/>
    <mergeCell ref="B93:C93"/>
    <mergeCell ref="D91:D92"/>
    <mergeCell ref="A94:S94"/>
    <mergeCell ref="A113:S113"/>
    <mergeCell ref="L123:S123"/>
    <mergeCell ref="B104:C104"/>
    <mergeCell ref="M90:S90"/>
    <mergeCell ref="A91:A92"/>
    <mergeCell ref="N91:S91"/>
    <mergeCell ref="B91:C92"/>
    <mergeCell ref="B116:C116"/>
    <mergeCell ref="E91:G91"/>
    <mergeCell ref="H91:H92"/>
    <mergeCell ref="K89:L89"/>
    <mergeCell ref="A81:D81"/>
    <mergeCell ref="A84:D84"/>
    <mergeCell ref="D90:E90"/>
    <mergeCell ref="K90:L90"/>
    <mergeCell ref="A102:S102"/>
    <mergeCell ref="M89:P89"/>
    <mergeCell ref="A47:D47"/>
    <mergeCell ref="A45:D45"/>
    <mergeCell ref="D52:E52"/>
    <mergeCell ref="B58:C58"/>
    <mergeCell ref="B79:C79"/>
    <mergeCell ref="L85:S85"/>
    <mergeCell ref="M51:P51"/>
    <mergeCell ref="M13:S13"/>
    <mergeCell ref="N14:S14"/>
    <mergeCell ref="B29:C29"/>
    <mergeCell ref="A17:S17"/>
    <mergeCell ref="E14:G14"/>
    <mergeCell ref="H14:H15"/>
    <mergeCell ref="B16:C16"/>
    <mergeCell ref="A14:A15"/>
    <mergeCell ref="B21:C21"/>
    <mergeCell ref="A24:D24"/>
    <mergeCell ref="B18:C18"/>
    <mergeCell ref="B20:C20"/>
    <mergeCell ref="B32:C32"/>
    <mergeCell ref="B33:C33"/>
    <mergeCell ref="B35:C35"/>
    <mergeCell ref="A39:S39"/>
    <mergeCell ref="B34:C34"/>
    <mergeCell ref="A37:D37"/>
    <mergeCell ref="F51:H51"/>
    <mergeCell ref="A66:S66"/>
    <mergeCell ref="B62:C62"/>
    <mergeCell ref="A64:D64"/>
    <mergeCell ref="B19:C19"/>
    <mergeCell ref="B41:C41"/>
    <mergeCell ref="B42:C42"/>
    <mergeCell ref="A27:S27"/>
    <mergeCell ref="B61:C61"/>
    <mergeCell ref="B60:C60"/>
    <mergeCell ref="I91:M91"/>
    <mergeCell ref="I53:M53"/>
    <mergeCell ref="E53:G53"/>
    <mergeCell ref="B70:C70"/>
    <mergeCell ref="B72:C72"/>
    <mergeCell ref="B71:C71"/>
    <mergeCell ref="A76:S76"/>
    <mergeCell ref="N53:S53"/>
    <mergeCell ref="B53:C54"/>
    <mergeCell ref="D53:D54"/>
    <mergeCell ref="A119:D119"/>
    <mergeCell ref="A120:D120"/>
    <mergeCell ref="A121:D121"/>
    <mergeCell ref="B57:C57"/>
    <mergeCell ref="B68:C68"/>
    <mergeCell ref="B59:C59"/>
    <mergeCell ref="B78:C78"/>
    <mergeCell ref="B73:C73"/>
    <mergeCell ref="A88:S88"/>
    <mergeCell ref="F89:H89"/>
    <mergeCell ref="A157:D157"/>
    <mergeCell ref="A147:D147"/>
    <mergeCell ref="A187:D187"/>
    <mergeCell ref="I164:M164"/>
    <mergeCell ref="N164:S164"/>
    <mergeCell ref="B145:C145"/>
    <mergeCell ref="A154:D154"/>
    <mergeCell ref="A161:S161"/>
    <mergeCell ref="F162:H162"/>
    <mergeCell ref="A164:A165"/>
    <mergeCell ref="B325:C325"/>
    <mergeCell ref="B321:C321"/>
    <mergeCell ref="B320:C320"/>
    <mergeCell ref="I315:M315"/>
    <mergeCell ref="A211:D211"/>
    <mergeCell ref="B141:C141"/>
    <mergeCell ref="A149:S149"/>
    <mergeCell ref="B144:C144"/>
    <mergeCell ref="B151:C151"/>
    <mergeCell ref="A156:D156"/>
    <mergeCell ref="B303:C303"/>
    <mergeCell ref="B301:C301"/>
    <mergeCell ref="L158:S158"/>
    <mergeCell ref="K162:L162"/>
    <mergeCell ref="B166:C166"/>
    <mergeCell ref="M163:S163"/>
    <mergeCell ref="D163:E163"/>
    <mergeCell ref="A176:D176"/>
    <mergeCell ref="B164:C165"/>
    <mergeCell ref="D164:D165"/>
    <mergeCell ref="A384:D384"/>
    <mergeCell ref="A383:D383"/>
    <mergeCell ref="A382:D382"/>
    <mergeCell ref="A346:D346"/>
    <mergeCell ref="B286:C286"/>
    <mergeCell ref="D315:D316"/>
    <mergeCell ref="B294:C294"/>
    <mergeCell ref="A312:S312"/>
    <mergeCell ref="B324:C324"/>
    <mergeCell ref="A315:A316"/>
    <mergeCell ref="B69:C69"/>
    <mergeCell ref="D14:D15"/>
    <mergeCell ref="D351:E351"/>
    <mergeCell ref="W8:W13"/>
    <mergeCell ref="I14:M14"/>
    <mergeCell ref="L8:S8"/>
    <mergeCell ref="B14:C15"/>
    <mergeCell ref="A111:D111"/>
    <mergeCell ref="T8:T13"/>
    <mergeCell ref="U8:U13"/>
    <mergeCell ref="A101:D101"/>
    <mergeCell ref="A138:S138"/>
    <mergeCell ref="B134:C134"/>
    <mergeCell ref="B135:C135"/>
    <mergeCell ref="B95:C95"/>
    <mergeCell ref="A46:D46"/>
    <mergeCell ref="A82:D82"/>
    <mergeCell ref="A83:D83"/>
    <mergeCell ref="B67:C67"/>
    <mergeCell ref="A50:S50"/>
    <mergeCell ref="D13:E13"/>
    <mergeCell ref="K13:L13"/>
    <mergeCell ref="B55:C55"/>
    <mergeCell ref="A56:S56"/>
    <mergeCell ref="L48:S48"/>
    <mergeCell ref="H53:H54"/>
    <mergeCell ref="A53:A54"/>
    <mergeCell ref="K51:L51"/>
    <mergeCell ref="M52:S52"/>
    <mergeCell ref="K52:L52"/>
    <mergeCell ref="A252:D252"/>
    <mergeCell ref="A263:D263"/>
    <mergeCell ref="B291:C291"/>
    <mergeCell ref="A306:D306"/>
    <mergeCell ref="B228:C228"/>
    <mergeCell ref="B140:C140"/>
    <mergeCell ref="A305:D305"/>
    <mergeCell ref="B290:C290"/>
    <mergeCell ref="B295:C295"/>
    <mergeCell ref="B302:C302"/>
    <mergeCell ref="B203:C203"/>
    <mergeCell ref="B207:C207"/>
    <mergeCell ref="B205:C205"/>
    <mergeCell ref="K314:L314"/>
    <mergeCell ref="A307:D307"/>
    <mergeCell ref="A308:D308"/>
    <mergeCell ref="B285:C285"/>
    <mergeCell ref="A298:D298"/>
    <mergeCell ref="A224:D224"/>
    <mergeCell ref="A231:D231"/>
    <mergeCell ref="B319:C319"/>
    <mergeCell ref="B317:C317"/>
    <mergeCell ref="A318:S318"/>
    <mergeCell ref="N315:S315"/>
    <mergeCell ref="M314:S314"/>
    <mergeCell ref="L309:S309"/>
    <mergeCell ref="B315:C316"/>
    <mergeCell ref="B244:C244"/>
    <mergeCell ref="B139:C139"/>
    <mergeCell ref="B215:C215"/>
    <mergeCell ref="A327:D327"/>
    <mergeCell ref="B322:C322"/>
    <mergeCell ref="B98:C98"/>
    <mergeCell ref="B131:C131"/>
    <mergeCell ref="B256:C256"/>
    <mergeCell ref="B257:C257"/>
    <mergeCell ref="B258:C258"/>
    <mergeCell ref="A9:S9"/>
    <mergeCell ref="A10:S10"/>
    <mergeCell ref="A11:S11"/>
    <mergeCell ref="A12:S12"/>
    <mergeCell ref="A388:S388"/>
    <mergeCell ref="B103:C103"/>
    <mergeCell ref="B365:C365"/>
    <mergeCell ref="B142:C142"/>
    <mergeCell ref="B28:C28"/>
    <mergeCell ref="B168:C168"/>
  </mergeCells>
  <printOptions/>
  <pageMargins left="0.7" right="0.7" top="0.75" bottom="0.75" header="0.3" footer="0.3"/>
  <pageSetup horizontalDpi="600" verticalDpi="600" orientation="landscape" paperSize="9" scale="78" r:id="rId1"/>
  <rowBreaks count="10" manualBreakCount="10">
    <brk id="48" max="18" man="1"/>
    <brk id="86" max="18" man="1"/>
    <brk id="122" max="18" man="1"/>
    <brk id="159" max="18" man="1"/>
    <brk id="196" max="18" man="1"/>
    <brk id="235" max="18" man="1"/>
    <brk id="273" max="18" man="1"/>
    <brk id="310" max="18" man="1"/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Пользователь Windows</cp:lastModifiedBy>
  <cp:lastPrinted>2022-08-24T05:46:41Z</cp:lastPrinted>
  <dcterms:created xsi:type="dcterms:W3CDTF">2017-06-07T09:01:22Z</dcterms:created>
  <dcterms:modified xsi:type="dcterms:W3CDTF">2022-08-24T05:47:48Z</dcterms:modified>
  <cp:category/>
  <cp:version/>
  <cp:contentType/>
  <cp:contentStatus/>
  <cp:revision>1</cp:revision>
</cp:coreProperties>
</file>